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485" tabRatio="971" firstSheet="3" activeTab="0"/>
  </bookViews>
  <sheets>
    <sheet name="Cover" sheetId="1" r:id="rId1"/>
    <sheet name="Product Classification" sheetId="2" r:id="rId2"/>
    <sheet name="Index" sheetId="3" r:id="rId3"/>
    <sheet name="A1" sheetId="4" r:id="rId4"/>
    <sheet name="A2" sheetId="5" r:id="rId5"/>
    <sheet name="A3" sheetId="6" r:id="rId6"/>
    <sheet name="A4" sheetId="7" r:id="rId7"/>
    <sheet name="A5" sheetId="8" r:id="rId8"/>
    <sheet name="A6" sheetId="9" r:id="rId9"/>
    <sheet name="A7" sheetId="10" r:id="rId10"/>
    <sheet name="A8" sheetId="11" r:id="rId11"/>
    <sheet name="A9" sheetId="12" r:id="rId12"/>
    <sheet name="A10" sheetId="13" r:id="rId13"/>
    <sheet name="A11" sheetId="14" r:id="rId14"/>
    <sheet name="A12" sheetId="15" r:id="rId15"/>
    <sheet name="A13" sheetId="16" r:id="rId16"/>
    <sheet name="A14" sheetId="17" r:id="rId17"/>
    <sheet name="A14-a" sheetId="18" r:id="rId18"/>
    <sheet name="A14-b" sheetId="19" r:id="rId19"/>
    <sheet name="A15" sheetId="20" r:id="rId20"/>
    <sheet name="A16" sheetId="21" r:id="rId21"/>
    <sheet name="A17" sheetId="22" r:id="rId22"/>
    <sheet name="A18" sheetId="23" r:id="rId23"/>
    <sheet name="A19" sheetId="24" r:id="rId24"/>
    <sheet name="A20-a" sheetId="25" r:id="rId25"/>
    <sheet name="A21" sheetId="26" r:id="rId26"/>
    <sheet name="A22" sheetId="27" r:id="rId27"/>
    <sheet name="A23" sheetId="28" r:id="rId28"/>
    <sheet name="A24" sheetId="29" r:id="rId29"/>
    <sheet name="A25" sheetId="30" r:id="rId30"/>
    <sheet name="A26" sheetId="31" r:id="rId31"/>
    <sheet name="A27" sheetId="32" r:id="rId32"/>
    <sheet name="A28" sheetId="33" r:id="rId33"/>
  </sheets>
  <definedNames>
    <definedName name="_xlnm.Print_Area" localSheetId="3">'A1'!$A$1:$N$26</definedName>
    <definedName name="_xlnm.Print_Area" localSheetId="12">'A10'!$A$1:$N$26</definedName>
    <definedName name="_xlnm.Print_Area" localSheetId="13">'A11'!$A$1:$N$26</definedName>
    <definedName name="_xlnm.Print_Area" localSheetId="14">'A12'!$A$1:$N$26</definedName>
    <definedName name="_xlnm.Print_Area" localSheetId="15">'A13'!$A$1:$N$26</definedName>
    <definedName name="_xlnm.Print_Area" localSheetId="16">'A14'!$A$1:$N$33</definedName>
    <definedName name="_xlnm.Print_Area" localSheetId="17">'A14-a'!$A$1:$N$29</definedName>
    <definedName name="_xlnm.Print_Area" localSheetId="18">'A14-b'!$A$1:$N$32</definedName>
    <definedName name="_xlnm.Print_Area" localSheetId="19">'A15'!$A$1:$N$26</definedName>
    <definedName name="_xlnm.Print_Area" localSheetId="20">'A16'!$A$1:$N$26</definedName>
    <definedName name="_xlnm.Print_Area" localSheetId="21">'A17'!$A$1:$N$26</definedName>
    <definedName name="_xlnm.Print_Area" localSheetId="23">'A19'!$A$1:$N$26</definedName>
    <definedName name="_xlnm.Print_Area" localSheetId="4">'A2'!$A$1:$N$26</definedName>
    <definedName name="_xlnm.Print_Area" localSheetId="24">'A20-a'!$A$1:$N$26</definedName>
    <definedName name="_xlnm.Print_Area" localSheetId="25">'A21'!$A$1:$N$26</definedName>
    <definedName name="_xlnm.Print_Area" localSheetId="26">'A22'!$A$1:$N$28</definedName>
    <definedName name="_xlnm.Print_Area" localSheetId="27">'A23'!$A$1:$N$26</definedName>
    <definedName name="_xlnm.Print_Area" localSheetId="28">'A24'!$A$1:$N$26</definedName>
    <definedName name="_xlnm.Print_Area" localSheetId="29">'A25'!$A$1:$N$26</definedName>
    <definedName name="_xlnm.Print_Area" localSheetId="30">'A26'!$A$1:$N$26</definedName>
    <definedName name="_xlnm.Print_Area" localSheetId="31">'A27'!$A$1:$N$26</definedName>
    <definedName name="_xlnm.Print_Area" localSheetId="32">'A28'!$A$1:$N$26</definedName>
    <definedName name="_xlnm.Print_Area" localSheetId="5">'A3'!$A$1:$N$26</definedName>
    <definedName name="_xlnm.Print_Area" localSheetId="6">'A4'!$A$1:$N$26</definedName>
    <definedName name="_xlnm.Print_Area" localSheetId="7">'A5'!$A$1:$N$26</definedName>
    <definedName name="_xlnm.Print_Area" localSheetId="8">'A6'!$A$1:$N$27</definedName>
    <definedName name="_xlnm.Print_Area" localSheetId="9">'A7'!$A$1:$N$26</definedName>
    <definedName name="_xlnm.Print_Area" localSheetId="10">'A8'!$A$1:$N$26</definedName>
    <definedName name="_xlnm.Print_Area" localSheetId="11">'A9'!$A$1:$N$26</definedName>
    <definedName name="_xlnm.Print_Area" localSheetId="1">'Product Classification'!$A$1:$C$23</definedName>
  </definedNames>
  <calcPr fullCalcOnLoad="1"/>
</workbook>
</file>

<file path=xl/sharedStrings.xml><?xml version="1.0" encoding="utf-8"?>
<sst xmlns="http://schemas.openxmlformats.org/spreadsheetml/2006/main" count="599" uniqueCount="157">
  <si>
    <t>Statistical Handbook</t>
  </si>
  <si>
    <t>January 2000 — Present</t>
  </si>
  <si>
    <t xml:space="preserve">  </t>
  </si>
  <si>
    <t>Market Administrator</t>
  </si>
  <si>
    <t>United States Department of Agriculture</t>
  </si>
  <si>
    <t>Agricultural Marketing Service—Dairy Programs</t>
  </si>
  <si>
    <t>million pounds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</si>
  <si>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</si>
  <si>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</si>
  <si>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</si>
  <si>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</si>
  <si>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</si>
  <si>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</si>
  <si>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</si>
  <si>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</si>
  <si>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</si>
  <si>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</si>
  <si>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</si>
  <si>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</si>
  <si>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Year</t>
  </si>
  <si>
    <t>Average</t>
  </si>
  <si>
    <t>percentage of producer receipts</t>
  </si>
  <si>
    <t>dollars per hundredweight</t>
  </si>
  <si>
    <t># Prices calculated using the equivalent pricing constituents for week ending October 12 and the prices published in AMS's National Dairy</t>
  </si>
  <si>
    <t xml:space="preserve">  Product Sales Report for week ending October 19 for the month of November 2013.</t>
  </si>
  <si>
    <t>percent</t>
  </si>
  <si>
    <t>number</t>
  </si>
  <si>
    <t>percent of total</t>
  </si>
  <si>
    <t xml:space="preserve">  Dairy Product Sales Report for week ending October 19 for the month of November 2013.</t>
  </si>
  <si>
    <t># Prices calculated using the equivalent pricing constituents for week ending October 12 and the prices published in AMS's National</t>
  </si>
  <si>
    <t xml:space="preserve">   Dairy Product Sales Report for week ending October 19 for the month of November 2013.</t>
  </si>
  <si>
    <t>dollars per pound</t>
  </si>
  <si>
    <t>Tab</t>
  </si>
  <si>
    <t>Description</t>
  </si>
  <si>
    <t>A1.</t>
  </si>
  <si>
    <t>Number of Producers</t>
  </si>
  <si>
    <t>A2.</t>
  </si>
  <si>
    <t>Milk Deliveries Per Day Per Producer</t>
  </si>
  <si>
    <t>A3.</t>
  </si>
  <si>
    <t>Receipts of Milk from Producers</t>
  </si>
  <si>
    <t>A4.</t>
  </si>
  <si>
    <t>Class I Utilization</t>
  </si>
  <si>
    <t>A5.</t>
  </si>
  <si>
    <t>Class II Utilization</t>
  </si>
  <si>
    <t>A6.</t>
  </si>
  <si>
    <t>Class III Utilization</t>
  </si>
  <si>
    <t>A7.</t>
  </si>
  <si>
    <t>Class IV Utilization</t>
  </si>
  <si>
    <t>A8.</t>
  </si>
  <si>
    <t>Class I Utilization Percentage</t>
  </si>
  <si>
    <t>A9.</t>
  </si>
  <si>
    <t>Class II Utilization Percentage</t>
  </si>
  <si>
    <t>A10.</t>
  </si>
  <si>
    <t>Class III Utilization Percentage</t>
  </si>
  <si>
    <t>A11.</t>
  </si>
  <si>
    <t>Class IV Utilization Percentage</t>
  </si>
  <si>
    <t>A12.</t>
  </si>
  <si>
    <t>Statistical Uniform Price</t>
  </si>
  <si>
    <t>A13.</t>
  </si>
  <si>
    <t>A13-a</t>
  </si>
  <si>
    <t>A13-b</t>
  </si>
  <si>
    <t>A14.</t>
  </si>
  <si>
    <t>Class I Price</t>
  </si>
  <si>
    <t>A14-a</t>
  </si>
  <si>
    <t>A14-b</t>
  </si>
  <si>
    <t>A15</t>
  </si>
  <si>
    <t>Average Butterfat Test of Producer Receipts</t>
  </si>
  <si>
    <t>A16</t>
  </si>
  <si>
    <t>A17</t>
  </si>
  <si>
    <t>A18</t>
  </si>
  <si>
    <t>A19</t>
  </si>
  <si>
    <t>Administrative Assessment</t>
  </si>
  <si>
    <t>A20-a</t>
  </si>
  <si>
    <t>Marketing Service Assessment</t>
  </si>
  <si>
    <t>A20-b</t>
  </si>
  <si>
    <t>A21</t>
  </si>
  <si>
    <t>Number of Cooperative Producers</t>
  </si>
  <si>
    <t>A22</t>
  </si>
  <si>
    <t>Cooperative Share of Producers</t>
  </si>
  <si>
    <t>A23</t>
  </si>
  <si>
    <t>Number of Non-Cooperative Producers</t>
  </si>
  <si>
    <t>A24</t>
  </si>
  <si>
    <t>Non-Cooperative Share of Producers</t>
  </si>
  <si>
    <t>A25</t>
  </si>
  <si>
    <t>Volume of Cooperative Producer Receipts</t>
  </si>
  <si>
    <t>A26</t>
  </si>
  <si>
    <t>Cooperative Share of Producer Receipts</t>
  </si>
  <si>
    <t>A27</t>
  </si>
  <si>
    <t>Volume of Non-Cooperative Producer Receipts</t>
  </si>
  <si>
    <t>A28</t>
  </si>
  <si>
    <t>Non-Cooperative Share of Producer Receipts</t>
  </si>
  <si>
    <t>Producer Price Differential (if applicable)</t>
  </si>
  <si>
    <t>Average True Protein Test of Producer Receipts (if applicable)</t>
  </si>
  <si>
    <t>Average Other Solids Test of Producer Receipts (if applicable)</t>
  </si>
  <si>
    <t xml:space="preserve">Class I Skim Price </t>
  </si>
  <si>
    <t xml:space="preserve">Class I Butterfat Price </t>
  </si>
  <si>
    <t>Transportation Credit Assessment (if applicable)</t>
  </si>
  <si>
    <t>Uniform Skim Price (if applicable)</t>
  </si>
  <si>
    <t>Uniform Butterfat Price (if applicable)</t>
  </si>
  <si>
    <t>Average Somatic Cell Count (if applicable)</t>
  </si>
  <si>
    <t>* Does not include 20-cent processor assessment, over order obligation, or administrative assessment.</t>
  </si>
  <si>
    <t>assigned to the lowest priced class for the applicable month.</t>
  </si>
  <si>
    <t>Milk used for Animal feed, dumpage, and extra ordinary loss shall be</t>
  </si>
  <si>
    <t>Note:</t>
  </si>
  <si>
    <t>concentrated fluid milk used in a Class IV product.</t>
  </si>
  <si>
    <t>Milk used to produce butter, any milk product in dried form, and bulk</t>
  </si>
  <si>
    <t>Class IV</t>
  </si>
  <si>
    <t>shrinkage, and bulk concentrated fluid milk used in a Class III product.</t>
  </si>
  <si>
    <t>anhydrous milkfat, butteroil, evaporated or sweetened condensed milk,</t>
  </si>
  <si>
    <t>Milk used to produce cheese (other than cottage), plastic cream,</t>
  </si>
  <si>
    <t>Class III</t>
  </si>
  <si>
    <t>milk used in a Class II product.</t>
  </si>
  <si>
    <t>commercial food processing establishment, and bulk concentrated fluid</t>
  </si>
  <si>
    <t xml:space="preserve">soup, bakery products, bulk fluid milk and cream products disposed of to a </t>
  </si>
  <si>
    <t>custards, puddings, pancake mixes, infant and dietary formulas, candy,</t>
  </si>
  <si>
    <t>cottage cheese, frozen desserts, yogurt, sour and aerated cream,</t>
  </si>
  <si>
    <t xml:space="preserve">Milk used to produce fluid cream (and packaged ending inventory), </t>
  </si>
  <si>
    <t>Class II</t>
  </si>
  <si>
    <t>drinks, and eggnog sold in the marketing area.</t>
  </si>
  <si>
    <t>Milk, concentrated fluid milk, fluid milk products, cultured or flavored milk</t>
  </si>
  <si>
    <t>Class I</t>
  </si>
  <si>
    <t>January 1, 2000</t>
  </si>
  <si>
    <t>Mideast Marketing Area</t>
  </si>
  <si>
    <t>Federal Order No. 33</t>
  </si>
  <si>
    <r>
      <t>Table A14-a.  Class I Skim Price</t>
    </r>
    <r>
      <rPr>
        <b/>
        <i/>
        <sz val="12"/>
        <rFont val="Arial"/>
        <family val="2"/>
      </rPr>
      <t xml:space="preserve"> at Cuyahoga County, OH#</t>
    </r>
  </si>
  <si>
    <r>
      <t>Table A14-b.  Class I Butterfat Price</t>
    </r>
    <r>
      <rPr>
        <b/>
        <i/>
        <sz val="12"/>
        <rFont val="Arial"/>
        <family val="2"/>
      </rPr>
      <t xml:space="preserve"> at Cuyahoga County, OH#</t>
    </r>
  </si>
  <si>
    <t xml:space="preserve">* See notes on product classification </t>
  </si>
  <si>
    <t>*R indicates the data is restricted</t>
  </si>
  <si>
    <t>Table A1.  Order No. 33—Number of Producers</t>
  </si>
  <si>
    <t>Table A2.  Order No. 33—Milk Deliveries Per Day Per Producer</t>
  </si>
  <si>
    <t>Table A3.  Order No. 33—Receipts of Milk from Producers</t>
  </si>
  <si>
    <t>Table A4.  Order No. 33—Class I Utilization*</t>
  </si>
  <si>
    <t>Table A5.  Order No. 33—Class II Utilization*</t>
  </si>
  <si>
    <t>Table A6.  Order No. 33—Class III Utilization*</t>
  </si>
  <si>
    <t>Table A7.  Order No. 33—Class IV Utilization*</t>
  </si>
  <si>
    <t>Table A8.  Order No. 33—Class I Utilization Percentage*</t>
  </si>
  <si>
    <t>Table A9.  Order No. 33—Class II Utilization Percentage*</t>
  </si>
  <si>
    <t>Table A10.  Order No. 33—Class III Utilization Percentage*</t>
  </si>
  <si>
    <t>Table A11.  Order No. 33—Class IV Utilization Percentage*</t>
  </si>
  <si>
    <t xml:space="preserve">Table A12.  Order No. 33—Statistical Uniform Price at  Cuyahoga County, OH </t>
  </si>
  <si>
    <t xml:space="preserve">Table A13.  Order No. 33—Producer Price Differential at  Cuyahoga County, OH </t>
  </si>
  <si>
    <t>Table A14.  Order No. 33—Class I Price for Milk Containing 3.5 Percent Butterfat at  Cuyahoga County, OH*#</t>
  </si>
  <si>
    <t>Table A15.  Order No. 33—Average Butterfat Test of Producer Receipts</t>
  </si>
  <si>
    <t>Table A16.  Order No. 33—Average True Protein Test of Producer Receipts</t>
  </si>
  <si>
    <t>Table A17.  Order No. 33—Average Other Solids Test of Producer Receipts</t>
  </si>
  <si>
    <t>Table A18.  Order No. 33—Average Somatic Cell Count</t>
  </si>
  <si>
    <t>Table A19.  Order No. 33—Administrative Assessment</t>
  </si>
  <si>
    <t>Table A20-a.  Order No. 33—Marketing Service Assessment*</t>
  </si>
  <si>
    <t>Table A21.  Order No. 33—Number of Cooperative Producers</t>
  </si>
  <si>
    <t>Table A22.  Order No. 33—Cooperative Share of Producers</t>
  </si>
  <si>
    <t>Table A23.  Order No. 33—Number of Non–Cooperative Producers</t>
  </si>
  <si>
    <t>Table A24.  Order No. 33—Non-Cooperative Share of Producers</t>
  </si>
  <si>
    <t>Table A25.  Order No. 33—Volume of Cooperative Producer Receipts</t>
  </si>
  <si>
    <t>Table A26.  Order No. 33—Cooperative Share of Producer Receipts</t>
  </si>
  <si>
    <t>Table A27.  Order No. 33—Volume of Non–Cooperative Producer Receipts</t>
  </si>
  <si>
    <t>Table A28.  Order No. 33—Non–Cooperative Share of Producer Receipts</t>
  </si>
  <si>
    <t>Product Classification as of January 1, 2000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</si>
</sst>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_0.00"/>
    <numFmt numFmtId="167" formatCode="#,##0.0000"/>
    <numFmt numFmtId="168" formatCode="&quot;$&quot;#,##0.00"/>
    <numFmt numFmtId="169" formatCode="_(* #,##0.0_);_(* \(#,##0.0\);_(* &quot;-&quot;??_);_(@_)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22"/>
      <name val="Franklin Gothic Book"/>
      <family val="2"/>
    </font>
    <font>
      <b/>
      <sz val="10"/>
      <name val="Arial"/>
      <family val="2"/>
    </font>
    <font>
      <b/>
      <sz val="32"/>
      <name val="Franklin Gothic Book"/>
      <family val="2"/>
    </font>
    <font>
      <b/>
      <sz val="26"/>
      <name val="Franklin Gothic Book"/>
      <family val="2"/>
    </font>
    <font>
      <b/>
      <sz val="28"/>
      <name val="Franklin Gothic Book"/>
      <family val="2"/>
    </font>
    <font>
      <b/>
      <sz val="24"/>
      <name val="Franklin Gothic Book"/>
      <family val="2"/>
    </font>
    <font>
      <b/>
      <sz val="20"/>
      <name val="Franklin Gothic Book"/>
      <family val="2"/>
    </font>
    <font>
      <sz val="18"/>
      <name val="Franklin Gothic Book"/>
      <family val="2"/>
    </font>
    <font>
      <b/>
      <sz val="14"/>
      <name val="Franklin Gothic Book"/>
      <family val="2"/>
    </font>
    <font>
      <b/>
      <sz val="16"/>
      <name val="Franklin Gothic Book"/>
      <family val="2"/>
    </font>
    <font>
      <sz val="10"/>
      <name val="Geneva"/>
      <family val="0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2"/>
      <color indexed="10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2"/>
      <color rgb="FFFF000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58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9" xfId="0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/>
    </xf>
    <xf numFmtId="39" fontId="13" fillId="0" borderId="0" xfId="0" applyNumberFormat="1" applyFont="1" applyAlignment="1">
      <alignment horizontal="center"/>
    </xf>
    <xf numFmtId="0" fontId="13" fillId="0" borderId="0" xfId="0" applyFont="1" applyAlignment="1" quotePrefix="1">
      <alignment horizontal="right"/>
    </xf>
    <xf numFmtId="165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Alignment="1" quotePrefix="1">
      <alignment horizontal="center"/>
    </xf>
    <xf numFmtId="0" fontId="17" fillId="0" borderId="0" xfId="60" applyFont="1" applyAlignment="1">
      <alignment/>
      <protection/>
    </xf>
    <xf numFmtId="0" fontId="0" fillId="0" borderId="0" xfId="60">
      <alignment/>
      <protection/>
    </xf>
    <xf numFmtId="0" fontId="0" fillId="0" borderId="0" xfId="60" applyFont="1" applyAlignment="1">
      <alignment horizontal="right" vertical="center"/>
      <protection/>
    </xf>
    <xf numFmtId="0" fontId="0" fillId="0" borderId="0" xfId="60" applyFont="1">
      <alignment/>
      <protection/>
    </xf>
    <xf numFmtId="0" fontId="0" fillId="0" borderId="0" xfId="60" applyFont="1" applyAlignment="1">
      <alignment horizontal="right"/>
      <protection/>
    </xf>
    <xf numFmtId="0" fontId="50" fillId="0" borderId="0" xfId="55" applyAlignment="1">
      <alignment vertical="center"/>
    </xf>
    <xf numFmtId="0" fontId="50" fillId="0" borderId="0" xfId="55" applyAlignment="1">
      <alignment/>
    </xf>
    <xf numFmtId="0" fontId="13" fillId="0" borderId="0" xfId="60" applyFont="1">
      <alignment/>
      <protection/>
    </xf>
    <xf numFmtId="0" fontId="13" fillId="0" borderId="0" xfId="60" applyFont="1" applyAlignment="1">
      <alignment horizontal="right"/>
      <protection/>
    </xf>
    <xf numFmtId="3" fontId="13" fillId="0" borderId="0" xfId="60" applyNumberFormat="1" applyFont="1">
      <alignment/>
      <protection/>
    </xf>
    <xf numFmtId="3" fontId="13" fillId="0" borderId="0" xfId="60" applyNumberFormat="1" applyFont="1" applyAlignment="1">
      <alignment horizontal="right"/>
      <protection/>
    </xf>
    <xf numFmtId="0" fontId="13" fillId="0" borderId="0" xfId="60" applyFont="1" applyAlignment="1">
      <alignment horizontal="center"/>
      <protection/>
    </xf>
    <xf numFmtId="2" fontId="13" fillId="0" borderId="0" xfId="60" applyNumberFormat="1" applyFont="1" applyAlignment="1">
      <alignment horizontal="center"/>
      <protection/>
    </xf>
    <xf numFmtId="166" fontId="13" fillId="0" borderId="0" xfId="60" applyNumberFormat="1" applyFont="1" applyAlignment="1">
      <alignment horizontal="center"/>
      <protection/>
    </xf>
    <xf numFmtId="0" fontId="13" fillId="0" borderId="0" xfId="60" applyFont="1" applyAlignment="1" quotePrefix="1">
      <alignment horizontal="center"/>
      <protection/>
    </xf>
    <xf numFmtId="4" fontId="13" fillId="0" borderId="0" xfId="60" applyNumberFormat="1" applyFont="1" applyAlignment="1">
      <alignment horizontal="center"/>
      <protection/>
    </xf>
    <xf numFmtId="0" fontId="13" fillId="0" borderId="0" xfId="60" applyFont="1" applyBorder="1">
      <alignment/>
      <protection/>
    </xf>
    <xf numFmtId="0" fontId="13" fillId="0" borderId="18" xfId="60" applyFont="1" applyBorder="1" applyAlignment="1">
      <alignment horizontal="center"/>
      <protection/>
    </xf>
    <xf numFmtId="0" fontId="14" fillId="0" borderId="0" xfId="60" applyFont="1">
      <alignment/>
      <protection/>
    </xf>
    <xf numFmtId="167" fontId="13" fillId="0" borderId="0" xfId="60" applyNumberFormat="1" applyFont="1" applyAlignment="1">
      <alignment horizontal="center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15" fontId="17" fillId="0" borderId="0" xfId="0" applyNumberFormat="1" applyFont="1" applyAlignment="1" quotePrefix="1">
      <alignment/>
    </xf>
    <xf numFmtId="165" fontId="13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3" fontId="13" fillId="0" borderId="19" xfId="0" applyNumberFormat="1" applyFont="1" applyBorder="1" applyAlignment="1">
      <alignment horizontal="center"/>
    </xf>
    <xf numFmtId="168" fontId="0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168" fontId="0" fillId="0" borderId="0" xfId="0" applyNumberFormat="1" applyAlignment="1">
      <alignment/>
    </xf>
    <xf numFmtId="165" fontId="13" fillId="0" borderId="19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 quotePrefix="1">
      <alignment horizontal="center"/>
    </xf>
    <xf numFmtId="1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4" fontId="13" fillId="0" borderId="0" xfId="0" applyNumberFormat="1" applyFont="1" applyBorder="1" applyAlignment="1">
      <alignment horizontal="center"/>
    </xf>
    <xf numFmtId="0" fontId="13" fillId="0" borderId="0" xfId="60" applyFont="1" applyBorder="1" applyAlignment="1" quotePrefix="1">
      <alignment horizontal="center"/>
      <protection/>
    </xf>
    <xf numFmtId="2" fontId="13" fillId="0" borderId="0" xfId="60" applyNumberFormat="1" applyFont="1" applyBorder="1" applyAlignment="1">
      <alignment horizontal="center"/>
      <protection/>
    </xf>
    <xf numFmtId="4" fontId="13" fillId="0" borderId="0" xfId="60" applyNumberFormat="1" applyFont="1" applyBorder="1" applyAlignment="1">
      <alignment horizontal="center"/>
      <protection/>
    </xf>
    <xf numFmtId="0" fontId="13" fillId="0" borderId="0" xfId="60" applyFont="1" applyBorder="1" applyAlignment="1">
      <alignment horizontal="center"/>
      <protection/>
    </xf>
    <xf numFmtId="167" fontId="13" fillId="0" borderId="0" xfId="60" applyNumberFormat="1" applyFont="1" applyBorder="1" applyAlignment="1">
      <alignment horizontal="center"/>
      <protection/>
    </xf>
    <xf numFmtId="165" fontId="13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13" fillId="0" borderId="20" xfId="60" applyFont="1" applyBorder="1" applyAlignment="1" quotePrefix="1">
      <alignment horizontal="center"/>
      <protection/>
    </xf>
    <xf numFmtId="2" fontId="13" fillId="0" borderId="20" xfId="60" applyNumberFormat="1" applyFont="1" applyBorder="1" applyAlignment="1">
      <alignment horizontal="center"/>
      <protection/>
    </xf>
    <xf numFmtId="4" fontId="13" fillId="0" borderId="20" xfId="60" applyNumberFormat="1" applyFont="1" applyBorder="1" applyAlignment="1">
      <alignment horizontal="center"/>
      <protection/>
    </xf>
    <xf numFmtId="0" fontId="13" fillId="0" borderId="20" xfId="60" applyFont="1" applyBorder="1" applyAlignment="1">
      <alignment horizontal="center"/>
      <protection/>
    </xf>
    <xf numFmtId="167" fontId="13" fillId="0" borderId="20" xfId="60" applyNumberFormat="1" applyFont="1" applyBorder="1" applyAlignment="1">
      <alignment horizontal="center"/>
      <protection/>
    </xf>
    <xf numFmtId="0" fontId="13" fillId="0" borderId="20" xfId="0" applyFont="1" applyBorder="1" applyAlignment="1">
      <alignment horizontal="center"/>
    </xf>
    <xf numFmtId="4" fontId="13" fillId="0" borderId="20" xfId="0" applyNumberFormat="1" applyFont="1" applyBorder="1" applyAlignment="1">
      <alignment horizontal="center"/>
    </xf>
    <xf numFmtId="3" fontId="13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9" xfId="60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31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9.140625" style="4" customWidth="1"/>
    <col min="2" max="2" width="93.7109375" style="4" bestFit="1" customWidth="1"/>
    <col min="3" max="16384" width="9.140625" style="4" customWidth="1"/>
  </cols>
  <sheetData>
    <row r="1" spans="1:3" ht="30" thickTop="1">
      <c r="A1" s="1"/>
      <c r="B1" s="2"/>
      <c r="C1" s="3"/>
    </row>
    <row r="2" spans="1:3" ht="29.25">
      <c r="A2" s="5"/>
      <c r="B2" s="6"/>
      <c r="C2" s="7"/>
    </row>
    <row r="3" spans="1:3" ht="29.25">
      <c r="A3" s="5"/>
      <c r="B3" s="6"/>
      <c r="C3" s="7"/>
    </row>
    <row r="4" spans="1:3" ht="29.25">
      <c r="A4" s="5"/>
      <c r="B4" s="6"/>
      <c r="C4" s="7"/>
    </row>
    <row r="5" spans="1:11" ht="39.75">
      <c r="A5" s="8"/>
      <c r="B5" s="9" t="s">
        <v>122</v>
      </c>
      <c r="C5" s="10"/>
      <c r="D5" s="11"/>
      <c r="E5" s="11"/>
      <c r="F5" s="11"/>
      <c r="G5" s="11"/>
      <c r="H5" s="11"/>
      <c r="I5" s="11"/>
      <c r="J5" s="11"/>
      <c r="K5" s="11"/>
    </row>
    <row r="6" spans="1:11" ht="39.75">
      <c r="A6" s="8"/>
      <c r="B6" s="12" t="s">
        <v>0</v>
      </c>
      <c r="C6" s="10"/>
      <c r="D6" s="11"/>
      <c r="E6" s="11"/>
      <c r="F6" s="11"/>
      <c r="G6" s="11"/>
      <c r="H6" s="11"/>
      <c r="I6" s="11"/>
      <c r="J6" s="11"/>
      <c r="K6" s="11"/>
    </row>
    <row r="7" spans="1:3" ht="33">
      <c r="A7" s="8"/>
      <c r="B7" s="13"/>
      <c r="C7" s="7"/>
    </row>
    <row r="8" spans="1:11" ht="34.5">
      <c r="A8" s="8"/>
      <c r="B8" s="14" t="s">
        <v>1</v>
      </c>
      <c r="C8" s="15"/>
      <c r="D8" s="16"/>
      <c r="E8" s="16"/>
      <c r="F8" s="16"/>
      <c r="G8" s="16"/>
      <c r="H8" s="16"/>
      <c r="I8" s="16"/>
      <c r="J8" s="16"/>
      <c r="K8" s="16"/>
    </row>
    <row r="9" spans="1:3" ht="30">
      <c r="A9" s="8"/>
      <c r="B9" s="17"/>
      <c r="C9" s="7"/>
    </row>
    <row r="10" spans="1:3" ht="30">
      <c r="A10" s="8"/>
      <c r="B10" s="17"/>
      <c r="C10" s="7"/>
    </row>
    <row r="11" spans="1:3" ht="30">
      <c r="A11" s="8"/>
      <c r="B11" s="17"/>
      <c r="C11" s="7"/>
    </row>
    <row r="12" spans="1:3" ht="30">
      <c r="A12" s="8"/>
      <c r="B12" s="17"/>
      <c r="C12" s="7"/>
    </row>
    <row r="13" spans="1:3" ht="30">
      <c r="A13" s="8"/>
      <c r="B13" s="17"/>
      <c r="C13" s="7"/>
    </row>
    <row r="14" spans="1:3" ht="30">
      <c r="A14" s="8"/>
      <c r="B14" s="17"/>
      <c r="C14" s="7"/>
    </row>
    <row r="15" spans="1:3" ht="30">
      <c r="A15" s="8"/>
      <c r="B15" s="17"/>
      <c r="C15" s="7"/>
    </row>
    <row r="16" spans="1:3" ht="30">
      <c r="A16" s="8"/>
      <c r="B16" s="17"/>
      <c r="C16" s="7"/>
    </row>
    <row r="17" spans="1:3" ht="30">
      <c r="A17" s="8"/>
      <c r="B17" s="17" t="s">
        <v>2</v>
      </c>
      <c r="C17" s="7"/>
    </row>
    <row r="18" spans="1:3" ht="30">
      <c r="A18" s="8"/>
      <c r="B18" s="17"/>
      <c r="C18" s="7"/>
    </row>
    <row r="19" spans="1:3" ht="30">
      <c r="A19" s="8"/>
      <c r="B19" s="17"/>
      <c r="C19" s="7"/>
    </row>
    <row r="20" spans="1:3" ht="30">
      <c r="A20" s="8"/>
      <c r="B20" s="17"/>
      <c r="C20" s="7"/>
    </row>
    <row r="21" spans="1:3" ht="30">
      <c r="A21" s="8"/>
      <c r="B21" s="17"/>
      <c r="C21" s="7"/>
    </row>
    <row r="22" spans="1:3" ht="30">
      <c r="A22" s="8"/>
      <c r="B22" s="17"/>
      <c r="C22" s="7"/>
    </row>
    <row r="23" spans="1:11" ht="27">
      <c r="A23" s="8"/>
      <c r="B23" s="18" t="s">
        <v>3</v>
      </c>
      <c r="C23" s="19"/>
      <c r="D23" s="20"/>
      <c r="E23" s="20"/>
      <c r="F23" s="20"/>
      <c r="G23" s="20"/>
      <c r="H23" s="20"/>
      <c r="I23" s="20"/>
      <c r="J23" s="20"/>
      <c r="K23" s="20"/>
    </row>
    <row r="24" spans="1:11" ht="27">
      <c r="A24" s="8"/>
      <c r="B24" s="18" t="s">
        <v>123</v>
      </c>
      <c r="C24" s="19"/>
      <c r="D24" s="20"/>
      <c r="E24" s="20"/>
      <c r="F24" s="20"/>
      <c r="G24" s="20"/>
      <c r="H24" s="20"/>
      <c r="I24" s="20"/>
      <c r="J24" s="20"/>
      <c r="K24" s="20"/>
    </row>
    <row r="25" spans="1:3" ht="24">
      <c r="A25" s="8"/>
      <c r="B25" s="21"/>
      <c r="C25" s="7"/>
    </row>
    <row r="26" spans="1:11" ht="19.5">
      <c r="A26" s="8"/>
      <c r="B26" s="22" t="s">
        <v>4</v>
      </c>
      <c r="C26" s="23"/>
      <c r="D26" s="24"/>
      <c r="E26" s="24"/>
      <c r="F26" s="24"/>
      <c r="G26" s="24"/>
      <c r="H26" s="24"/>
      <c r="I26" s="24"/>
      <c r="J26" s="24"/>
      <c r="K26" s="24"/>
    </row>
    <row r="27" spans="1:11" ht="19.5">
      <c r="A27" s="8"/>
      <c r="B27" s="22" t="s">
        <v>5</v>
      </c>
      <c r="C27" s="23"/>
      <c r="D27" s="24"/>
      <c r="E27" s="24"/>
      <c r="F27" s="24"/>
      <c r="G27" s="24"/>
      <c r="H27" s="24"/>
      <c r="I27" s="24"/>
      <c r="J27" s="24"/>
      <c r="K27" s="24"/>
    </row>
    <row r="28" spans="1:11" ht="19.5">
      <c r="A28" s="8"/>
      <c r="B28" s="22"/>
      <c r="C28" s="23"/>
      <c r="D28" s="24"/>
      <c r="E28" s="24"/>
      <c r="F28" s="24"/>
      <c r="G28" s="24"/>
      <c r="H28" s="24"/>
      <c r="I28" s="24"/>
      <c r="J28" s="24"/>
      <c r="K28" s="24"/>
    </row>
    <row r="29" spans="1:11" ht="19.5">
      <c r="A29" s="8"/>
      <c r="B29" s="22"/>
      <c r="C29" s="23"/>
      <c r="D29" s="24"/>
      <c r="E29" s="24"/>
      <c r="F29" s="24"/>
      <c r="G29" s="24"/>
      <c r="H29" s="24"/>
      <c r="I29" s="24"/>
      <c r="J29" s="24"/>
      <c r="K29" s="24"/>
    </row>
    <row r="30" spans="1:11" ht="19.5">
      <c r="A30" s="8"/>
      <c r="B30" s="22"/>
      <c r="C30" s="23"/>
      <c r="D30" s="24"/>
      <c r="E30" s="24"/>
      <c r="F30" s="24"/>
      <c r="G30" s="24"/>
      <c r="H30" s="24"/>
      <c r="I30" s="24"/>
      <c r="J30" s="24"/>
      <c r="K30" s="24"/>
    </row>
    <row r="31" spans="1:3" ht="21.75" thickBot="1">
      <c r="A31" s="25"/>
      <c r="B31" s="26"/>
      <c r="C31" s="27"/>
    </row>
    <row r="32" ht="13.5" thickTop="1"/>
  </sheetData>
  <sheetProtection/>
  <printOptions horizontalCentered="1"/>
  <pageMargins left="0.75" right="0.75" top="1" bottom="1" header="0.5" footer="0.5"/>
  <pageSetup fitToHeight="1" fitToWidth="1" horizontalDpi="600" verticalDpi="600" orientation="portrait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30"/>
  <sheetViews>
    <sheetView zoomScale="90" zoomScaleNormal="90" zoomScalePageLayoutView="0" workbookViewId="0" topLeftCell="A19">
      <selection activeCell="M29" sqref="M29"/>
    </sheetView>
  </sheetViews>
  <sheetFormatPr defaultColWidth="9.140625" defaultRowHeight="12.75"/>
  <cols>
    <col min="1" max="1" width="6.7109375" style="28" customWidth="1"/>
    <col min="2" max="13" width="9.140625" style="28" customWidth="1"/>
    <col min="14" max="14" width="9.57421875" style="28" bestFit="1" customWidth="1"/>
    <col min="15" max="15" width="11.28125" style="28" bestFit="1" customWidth="1"/>
    <col min="16" max="16384" width="9.140625" style="28" customWidth="1"/>
  </cols>
  <sheetData>
    <row r="1" ht="15.75">
      <c r="A1" s="36" t="s">
        <v>134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7"/>
      <c r="B4" s="101" t="s">
        <v>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4.25">
      <c r="A5" s="33">
        <v>2000</v>
      </c>
      <c r="B5" s="31">
        <v>114.147156</v>
      </c>
      <c r="C5" s="31">
        <v>69.791288</v>
      </c>
      <c r="D5" s="31">
        <v>77.863852</v>
      </c>
      <c r="E5" s="31">
        <v>108.829414</v>
      </c>
      <c r="F5" s="31">
        <v>90.990871</v>
      </c>
      <c r="G5" s="31">
        <v>75.949691</v>
      </c>
      <c r="H5" s="31">
        <v>99.997885</v>
      </c>
      <c r="I5" s="31">
        <v>46.034028</v>
      </c>
      <c r="J5" s="31">
        <v>51.430427</v>
      </c>
      <c r="K5" s="31">
        <v>72.129435</v>
      </c>
      <c r="L5" s="31">
        <v>41.249713</v>
      </c>
      <c r="M5" s="31">
        <v>43.088937</v>
      </c>
      <c r="N5" s="31">
        <f>AVERAGE(B5:M5)</f>
        <v>74.29189141666667</v>
      </c>
    </row>
    <row r="6" spans="1:14" ht="14.25">
      <c r="A6" s="32">
        <v>2001</v>
      </c>
      <c r="B6" s="31">
        <v>53.992269</v>
      </c>
      <c r="C6" s="31">
        <v>37.142265</v>
      </c>
      <c r="D6" s="31">
        <v>27.719752</v>
      </c>
      <c r="E6" s="31">
        <v>45.055935</v>
      </c>
      <c r="F6" s="31">
        <v>35.781464</v>
      </c>
      <c r="G6" s="31">
        <v>97.603541</v>
      </c>
      <c r="H6" s="31">
        <v>106.039456</v>
      </c>
      <c r="I6" s="31">
        <v>52.525395</v>
      </c>
      <c r="J6" s="31">
        <v>74.610428</v>
      </c>
      <c r="K6" s="31">
        <v>54.881348</v>
      </c>
      <c r="L6" s="31">
        <v>49.08977</v>
      </c>
      <c r="M6" s="31">
        <v>106.578775</v>
      </c>
      <c r="N6" s="31">
        <f aca="true" t="shared" si="0" ref="N6:N25">AVERAGE(B6:M6)</f>
        <v>61.75169983333333</v>
      </c>
    </row>
    <row r="7" spans="1:14" ht="14.25">
      <c r="A7" s="33">
        <v>2002</v>
      </c>
      <c r="B7" s="31">
        <v>60.184552</v>
      </c>
      <c r="C7" s="31">
        <v>111.936466</v>
      </c>
      <c r="D7" s="31">
        <v>82.248594</v>
      </c>
      <c r="E7" s="31">
        <v>66.117653</v>
      </c>
      <c r="F7" s="31">
        <v>93.789847</v>
      </c>
      <c r="G7" s="31">
        <v>91.913573</v>
      </c>
      <c r="H7" s="31">
        <v>25.250042</v>
      </c>
      <c r="I7" s="31">
        <v>36.795071</v>
      </c>
      <c r="J7" s="31">
        <v>54.565673</v>
      </c>
      <c r="K7" s="31">
        <v>53.97107</v>
      </c>
      <c r="L7" s="31">
        <v>51.45451</v>
      </c>
      <c r="M7" s="31">
        <v>87.108594</v>
      </c>
      <c r="N7" s="31">
        <f t="shared" si="0"/>
        <v>67.94463708333332</v>
      </c>
    </row>
    <row r="8" spans="1:14" ht="14.25">
      <c r="A8" s="32">
        <v>2003</v>
      </c>
      <c r="B8" s="31">
        <v>61.033624</v>
      </c>
      <c r="C8" s="31">
        <v>71.270691</v>
      </c>
      <c r="D8" s="31">
        <v>87.00297</v>
      </c>
      <c r="E8" s="31">
        <v>79.817039</v>
      </c>
      <c r="F8" s="31">
        <v>78.824049</v>
      </c>
      <c r="G8" s="31">
        <v>78.975808</v>
      </c>
      <c r="H8" s="31">
        <v>60.781151</v>
      </c>
      <c r="I8" s="31">
        <v>81.655591</v>
      </c>
      <c r="J8" s="31">
        <v>50.532588</v>
      </c>
      <c r="K8" s="31">
        <v>58.090553</v>
      </c>
      <c r="L8" s="31">
        <v>83.377095</v>
      </c>
      <c r="M8" s="31">
        <v>84.632059</v>
      </c>
      <c r="N8" s="31">
        <f t="shared" si="0"/>
        <v>72.99943483333334</v>
      </c>
    </row>
    <row r="9" spans="1:14" ht="14.25">
      <c r="A9" s="33">
        <v>2004</v>
      </c>
      <c r="B9" s="31">
        <v>57.4121</v>
      </c>
      <c r="C9" s="31">
        <v>46.777776</v>
      </c>
      <c r="D9" s="31">
        <v>39.498007</v>
      </c>
      <c r="E9" s="31">
        <v>57.786431</v>
      </c>
      <c r="F9" s="31">
        <v>124.287335</v>
      </c>
      <c r="G9" s="31">
        <v>109.918777</v>
      </c>
      <c r="H9" s="31">
        <v>79.678021</v>
      </c>
      <c r="I9" s="31">
        <v>75.051915</v>
      </c>
      <c r="J9" s="31">
        <v>60.603531</v>
      </c>
      <c r="K9" s="31">
        <v>78.43604</v>
      </c>
      <c r="L9" s="31">
        <v>54.501318</v>
      </c>
      <c r="M9" s="31">
        <v>67.592181</v>
      </c>
      <c r="N9" s="31">
        <f t="shared" si="0"/>
        <v>70.96195266666668</v>
      </c>
    </row>
    <row r="10" spans="1:14" ht="14.25">
      <c r="A10" s="32">
        <v>2005</v>
      </c>
      <c r="B10" s="31">
        <v>83.898926</v>
      </c>
      <c r="C10" s="31">
        <v>82.762326</v>
      </c>
      <c r="D10" s="31">
        <v>87.644735</v>
      </c>
      <c r="E10" s="31">
        <v>119.58653</v>
      </c>
      <c r="F10" s="31">
        <v>128.314767</v>
      </c>
      <c r="G10" s="31">
        <v>114.930585</v>
      </c>
      <c r="H10" s="31">
        <v>115.88034</v>
      </c>
      <c r="I10" s="31">
        <v>72.505813</v>
      </c>
      <c r="J10" s="31">
        <v>67.394851</v>
      </c>
      <c r="K10" s="31">
        <v>87.094039</v>
      </c>
      <c r="L10" s="31">
        <v>93.432358</v>
      </c>
      <c r="M10" s="31">
        <v>107.814787</v>
      </c>
      <c r="N10" s="31">
        <f t="shared" si="0"/>
        <v>96.77167141666666</v>
      </c>
    </row>
    <row r="11" spans="1:14" ht="14.25">
      <c r="A11" s="32">
        <v>2006</v>
      </c>
      <c r="B11" s="31">
        <v>108.559803</v>
      </c>
      <c r="C11" s="31">
        <v>95.988863</v>
      </c>
      <c r="D11" s="31">
        <v>94.383134</v>
      </c>
      <c r="E11" s="31">
        <v>146.588536</v>
      </c>
      <c r="F11" s="31">
        <v>126.885299</v>
      </c>
      <c r="G11" s="31">
        <v>112.911459</v>
      </c>
      <c r="H11" s="31">
        <v>132.876245</v>
      </c>
      <c r="I11" s="31">
        <v>64.98409</v>
      </c>
      <c r="J11" s="31">
        <v>80.872608</v>
      </c>
      <c r="K11" s="31">
        <v>77.609934</v>
      </c>
      <c r="L11" s="31">
        <v>59.010015</v>
      </c>
      <c r="M11" s="31">
        <v>128.900856</v>
      </c>
      <c r="N11" s="31">
        <f t="shared" si="0"/>
        <v>102.46423683333336</v>
      </c>
    </row>
    <row r="12" spans="1:14" ht="14.25">
      <c r="A12" s="32">
        <v>2007</v>
      </c>
      <c r="B12" s="31">
        <v>92.949441</v>
      </c>
      <c r="C12" s="31">
        <v>87.300954</v>
      </c>
      <c r="D12" s="31">
        <v>86.360104</v>
      </c>
      <c r="E12" s="31">
        <v>120.618679</v>
      </c>
      <c r="F12" s="31">
        <v>79.023552</v>
      </c>
      <c r="G12" s="31">
        <v>90.799897</v>
      </c>
      <c r="H12" s="31">
        <v>129.309702</v>
      </c>
      <c r="I12" s="31">
        <v>69.361684</v>
      </c>
      <c r="J12" s="31">
        <v>95.804734</v>
      </c>
      <c r="K12" s="31">
        <v>60.756715</v>
      </c>
      <c r="L12" s="31">
        <v>60.583984</v>
      </c>
      <c r="M12" s="31">
        <v>129.442352</v>
      </c>
      <c r="N12" s="31">
        <f t="shared" si="0"/>
        <v>91.85931649999999</v>
      </c>
    </row>
    <row r="13" spans="1:14" ht="14.25">
      <c r="A13" s="33">
        <v>2008</v>
      </c>
      <c r="B13" s="31">
        <v>108.092537</v>
      </c>
      <c r="C13" s="31">
        <v>102.921639</v>
      </c>
      <c r="D13" s="31">
        <v>138.721321</v>
      </c>
      <c r="E13" s="31">
        <v>148.120594</v>
      </c>
      <c r="F13" s="31">
        <v>137.770196</v>
      </c>
      <c r="G13" s="31">
        <v>159.608618</v>
      </c>
      <c r="H13" s="31">
        <v>127.186622</v>
      </c>
      <c r="I13" s="31">
        <v>112.128339</v>
      </c>
      <c r="J13" s="31">
        <v>53.348446</v>
      </c>
      <c r="K13" s="31">
        <v>65.295121</v>
      </c>
      <c r="L13" s="31">
        <v>115.936377</v>
      </c>
      <c r="M13" s="31">
        <v>98.709686</v>
      </c>
      <c r="N13" s="31">
        <f t="shared" si="0"/>
        <v>113.98662466666666</v>
      </c>
    </row>
    <row r="14" spans="1:14" ht="14.25">
      <c r="A14" s="32">
        <v>2009</v>
      </c>
      <c r="B14" s="31">
        <v>111.617041</v>
      </c>
      <c r="C14" s="31">
        <v>81.587205</v>
      </c>
      <c r="D14" s="31">
        <v>116.728768</v>
      </c>
      <c r="E14" s="31">
        <v>109.102094</v>
      </c>
      <c r="F14" s="31">
        <v>124.29767</v>
      </c>
      <c r="G14" s="31">
        <v>101.389216</v>
      </c>
      <c r="H14" s="31">
        <v>96.537423</v>
      </c>
      <c r="I14" s="31">
        <v>96.902203</v>
      </c>
      <c r="J14" s="31">
        <v>65.060176</v>
      </c>
      <c r="K14" s="31">
        <v>67.754052</v>
      </c>
      <c r="L14" s="31">
        <v>70.557555</v>
      </c>
      <c r="M14" s="31">
        <v>101.005308</v>
      </c>
      <c r="N14" s="31">
        <f t="shared" si="0"/>
        <v>95.21155925000001</v>
      </c>
    </row>
    <row r="15" spans="1:14" ht="14.25">
      <c r="A15" s="33">
        <v>2010</v>
      </c>
      <c r="B15" s="31">
        <v>108.137702</v>
      </c>
      <c r="C15" s="31">
        <v>89.091254</v>
      </c>
      <c r="D15" s="31">
        <v>94.544567</v>
      </c>
      <c r="E15" s="31">
        <v>130.256019</v>
      </c>
      <c r="F15" s="31">
        <v>144.056147</v>
      </c>
      <c r="G15" s="31">
        <v>123.8968</v>
      </c>
      <c r="H15" s="31">
        <v>79.560053</v>
      </c>
      <c r="I15" s="31">
        <v>51.874673</v>
      </c>
      <c r="J15" s="31">
        <v>58.27673</v>
      </c>
      <c r="K15" s="31">
        <v>64.85974</v>
      </c>
      <c r="L15" s="31">
        <v>67.254391</v>
      </c>
      <c r="M15" s="31">
        <v>92.841927</v>
      </c>
      <c r="N15" s="31">
        <f t="shared" si="0"/>
        <v>92.05416691666666</v>
      </c>
    </row>
    <row r="16" spans="1:14" ht="14.25">
      <c r="A16" s="32">
        <v>2011</v>
      </c>
      <c r="B16" s="31">
        <v>77.870584</v>
      </c>
      <c r="C16" s="31">
        <v>78.418005</v>
      </c>
      <c r="D16" s="31">
        <v>96.135473</v>
      </c>
      <c r="E16" s="31">
        <v>98.215395</v>
      </c>
      <c r="F16" s="31">
        <v>101.42787</v>
      </c>
      <c r="G16" s="31">
        <v>125.412951</v>
      </c>
      <c r="H16" s="31">
        <v>133.329363</v>
      </c>
      <c r="I16" s="31">
        <v>100.465425</v>
      </c>
      <c r="J16" s="31">
        <v>71.13909</v>
      </c>
      <c r="K16" s="31">
        <v>88.963798</v>
      </c>
      <c r="L16" s="31">
        <v>126.324097</v>
      </c>
      <c r="M16" s="31">
        <v>175.131895</v>
      </c>
      <c r="N16" s="31">
        <f t="shared" si="0"/>
        <v>106.0694955</v>
      </c>
    </row>
    <row r="17" spans="1:14" ht="14.25">
      <c r="A17" s="33">
        <v>2012</v>
      </c>
      <c r="B17" s="31">
        <v>149.268046</v>
      </c>
      <c r="C17" s="31">
        <v>159.848032</v>
      </c>
      <c r="D17" s="31">
        <v>157.400607</v>
      </c>
      <c r="E17" s="31">
        <v>212.633498</v>
      </c>
      <c r="F17" s="31">
        <v>219.76679</v>
      </c>
      <c r="G17" s="31">
        <v>234.352677</v>
      </c>
      <c r="H17" s="31">
        <v>194.560802</v>
      </c>
      <c r="I17" s="31">
        <v>166.33789</v>
      </c>
      <c r="J17" s="31">
        <v>146.800097</v>
      </c>
      <c r="K17" s="31">
        <v>144.36914</v>
      </c>
      <c r="L17" s="31">
        <v>201.054102</v>
      </c>
      <c r="M17" s="31">
        <v>269.059275</v>
      </c>
      <c r="N17" s="31">
        <f t="shared" si="0"/>
        <v>187.95424633333334</v>
      </c>
    </row>
    <row r="18" spans="1:14" ht="14.25">
      <c r="A18" s="32">
        <v>2013</v>
      </c>
      <c r="B18" s="31">
        <v>243.641215</v>
      </c>
      <c r="C18" s="31">
        <v>229.42969</v>
      </c>
      <c r="D18" s="31">
        <v>228.184516</v>
      </c>
      <c r="E18" s="31">
        <v>214.033634</v>
      </c>
      <c r="F18" s="31">
        <v>232.264346</v>
      </c>
      <c r="G18" s="31">
        <v>230.51887</v>
      </c>
      <c r="H18" s="31">
        <v>163.428149</v>
      </c>
      <c r="I18" s="31">
        <v>164.789866</v>
      </c>
      <c r="J18" s="31">
        <v>115.444063</v>
      </c>
      <c r="K18" s="31">
        <v>85.973921</v>
      </c>
      <c r="L18" s="31">
        <v>118.520175</v>
      </c>
      <c r="M18" s="31">
        <v>119.409069</v>
      </c>
      <c r="N18" s="31">
        <f t="shared" si="0"/>
        <v>178.80312616666666</v>
      </c>
    </row>
    <row r="19" spans="1:14" ht="14.25">
      <c r="A19" s="33">
        <v>2014</v>
      </c>
      <c r="B19" s="31">
        <v>137.799157</v>
      </c>
      <c r="C19" s="31">
        <v>179.288302</v>
      </c>
      <c r="D19" s="31">
        <v>226.703394</v>
      </c>
      <c r="E19" s="31">
        <v>245.641758</v>
      </c>
      <c r="F19" s="31">
        <v>274.686088</v>
      </c>
      <c r="G19" s="31">
        <v>219.962538</v>
      </c>
      <c r="H19" s="31">
        <v>194.575656</v>
      </c>
      <c r="I19" s="31">
        <v>207.208646</v>
      </c>
      <c r="J19" s="31">
        <v>191.380137</v>
      </c>
      <c r="K19" s="31">
        <v>243.176833</v>
      </c>
      <c r="L19" s="31">
        <v>272.080837</v>
      </c>
      <c r="M19" s="31">
        <v>283.948174</v>
      </c>
      <c r="N19" s="31">
        <f t="shared" si="0"/>
        <v>223.03762666666668</v>
      </c>
    </row>
    <row r="20" spans="1:14" ht="14.25">
      <c r="A20" s="32">
        <v>2015</v>
      </c>
      <c r="B20" s="31">
        <v>263.057409</v>
      </c>
      <c r="C20" s="31">
        <v>261.124104</v>
      </c>
      <c r="D20" s="31">
        <v>284.698302</v>
      </c>
      <c r="E20" s="31">
        <v>271.829809</v>
      </c>
      <c r="F20" s="31">
        <v>331.070812</v>
      </c>
      <c r="G20" s="31">
        <v>268.964797</v>
      </c>
      <c r="H20" s="31">
        <v>269.183448</v>
      </c>
      <c r="I20" s="31">
        <v>244.467624</v>
      </c>
      <c r="J20" s="31">
        <v>227.743269</v>
      </c>
      <c r="K20" s="31">
        <v>237.917243</v>
      </c>
      <c r="L20" s="31">
        <v>264.768018</v>
      </c>
      <c r="M20" s="31">
        <v>278.456132</v>
      </c>
      <c r="N20" s="31">
        <f t="shared" si="0"/>
        <v>266.9400805833334</v>
      </c>
    </row>
    <row r="21" spans="1:14" ht="14.25">
      <c r="A21" s="33">
        <v>2016</v>
      </c>
      <c r="B21" s="31">
        <v>291.7135</v>
      </c>
      <c r="C21" s="31">
        <v>280.91553</v>
      </c>
      <c r="D21" s="31">
        <v>288.844715</v>
      </c>
      <c r="E21" s="31">
        <v>300.897462</v>
      </c>
      <c r="F21" s="31">
        <v>325.375826</v>
      </c>
      <c r="G21" s="31">
        <v>280.27392</v>
      </c>
      <c r="H21" s="31">
        <v>287.467762</v>
      </c>
      <c r="I21" s="31">
        <v>209.95991</v>
      </c>
      <c r="J21" s="31">
        <v>256.294911</v>
      </c>
      <c r="K21" s="31">
        <v>279.283746</v>
      </c>
      <c r="L21" s="31">
        <v>275.457092</v>
      </c>
      <c r="M21" s="31">
        <v>323.96627</v>
      </c>
      <c r="N21" s="31">
        <f t="shared" si="0"/>
        <v>283.37088700000004</v>
      </c>
    </row>
    <row r="22" spans="1:14" ht="14.25">
      <c r="A22" s="32">
        <v>2017</v>
      </c>
      <c r="B22" s="31">
        <v>301.91884</v>
      </c>
      <c r="C22" s="31">
        <v>297.504699</v>
      </c>
      <c r="D22" s="31">
        <v>330.521872</v>
      </c>
      <c r="E22" s="31">
        <v>330.314572</v>
      </c>
      <c r="F22" s="31">
        <v>332.37438</v>
      </c>
      <c r="G22" s="31">
        <v>301.624618</v>
      </c>
      <c r="H22" s="31">
        <v>289.9</v>
      </c>
      <c r="I22" s="31">
        <v>243.94669</v>
      </c>
      <c r="J22" s="31">
        <v>257.904642</v>
      </c>
      <c r="K22" s="31">
        <v>264.696732</v>
      </c>
      <c r="L22" s="31">
        <v>276.63234</v>
      </c>
      <c r="M22" s="31">
        <v>317.127231</v>
      </c>
      <c r="N22" s="31">
        <f t="shared" si="0"/>
        <v>295.37221800000003</v>
      </c>
    </row>
    <row r="23" spans="1:14" ht="14.25">
      <c r="A23" s="32">
        <v>2018</v>
      </c>
      <c r="B23" s="31">
        <v>260.133138</v>
      </c>
      <c r="C23" s="31">
        <v>273.540126</v>
      </c>
      <c r="D23" s="31">
        <v>285.934186</v>
      </c>
      <c r="E23" s="31">
        <v>290.114297</v>
      </c>
      <c r="F23" s="31">
        <v>307.530699</v>
      </c>
      <c r="G23" s="31">
        <v>286.30349</v>
      </c>
      <c r="H23" s="31">
        <v>246</v>
      </c>
      <c r="I23" s="31">
        <v>235.9</v>
      </c>
      <c r="J23" s="31">
        <v>227.7</v>
      </c>
      <c r="K23" s="31">
        <v>224.5</v>
      </c>
      <c r="L23" s="31">
        <v>207.3</v>
      </c>
      <c r="M23" s="31">
        <v>263.5</v>
      </c>
      <c r="N23" s="31">
        <f t="shared" si="0"/>
        <v>259.03799466666663</v>
      </c>
    </row>
    <row r="24" spans="1:14" ht="14.25">
      <c r="A24" s="32">
        <v>2019</v>
      </c>
      <c r="B24" s="31">
        <v>209.673428</v>
      </c>
      <c r="C24" s="31">
        <v>228.831215</v>
      </c>
      <c r="D24" s="31">
        <v>251.4</v>
      </c>
      <c r="E24" s="31">
        <v>251.5</v>
      </c>
      <c r="F24" s="31">
        <v>327.5</v>
      </c>
      <c r="G24" s="31">
        <v>260.4</v>
      </c>
      <c r="H24" s="31">
        <v>228.5</v>
      </c>
      <c r="I24" s="31">
        <v>230.6</v>
      </c>
      <c r="J24" s="31">
        <v>207.105</v>
      </c>
      <c r="K24" s="31">
        <v>236.9</v>
      </c>
      <c r="L24" s="31">
        <v>268.4</v>
      </c>
      <c r="M24" s="31">
        <v>316.8</v>
      </c>
      <c r="N24" s="31">
        <f t="shared" si="0"/>
        <v>251.46747025000002</v>
      </c>
    </row>
    <row r="25" spans="1:14" ht="14.25">
      <c r="A25" s="34">
        <v>2020</v>
      </c>
      <c r="B25" s="82">
        <v>284</v>
      </c>
      <c r="C25" s="82">
        <v>273.6</v>
      </c>
      <c r="D25" s="82">
        <v>252.3</v>
      </c>
      <c r="E25" s="82">
        <v>353.6</v>
      </c>
      <c r="F25" s="82">
        <v>285.2</v>
      </c>
      <c r="G25" s="82">
        <v>309.8</v>
      </c>
      <c r="H25" s="82">
        <v>291.9</v>
      </c>
      <c r="I25" s="82">
        <v>245</v>
      </c>
      <c r="J25" s="82">
        <v>219.3</v>
      </c>
      <c r="K25" s="82">
        <v>239.4</v>
      </c>
      <c r="L25" s="82">
        <v>274.5</v>
      </c>
      <c r="M25" s="82">
        <v>275.5</v>
      </c>
      <c r="N25" s="82">
        <f t="shared" si="0"/>
        <v>275.3416666666667</v>
      </c>
    </row>
    <row r="26" spans="1:14" ht="14.25">
      <c r="A26" s="34">
        <v>2021</v>
      </c>
      <c r="B26" s="82">
        <v>308.6</v>
      </c>
      <c r="C26" s="82">
        <v>257.8</v>
      </c>
      <c r="D26" s="82">
        <v>281.1</v>
      </c>
      <c r="E26" s="82">
        <v>341.8</v>
      </c>
      <c r="F26" s="82">
        <v>292</v>
      </c>
      <c r="G26" s="82">
        <v>254.7</v>
      </c>
      <c r="H26" s="82">
        <v>272.5</v>
      </c>
      <c r="I26" s="82">
        <v>165.5</v>
      </c>
      <c r="J26" s="82">
        <v>156.6</v>
      </c>
      <c r="K26" s="82">
        <v>166.2</v>
      </c>
      <c r="L26" s="82">
        <v>125</v>
      </c>
      <c r="M26" s="82">
        <v>139.2</v>
      </c>
      <c r="N26" s="82">
        <f>AVERAGE(B26:M26)</f>
        <v>230.0833333333333</v>
      </c>
    </row>
    <row r="27" spans="1:14" ht="14.25">
      <c r="A27" s="34">
        <v>2022</v>
      </c>
      <c r="B27" s="82">
        <v>129.6</v>
      </c>
      <c r="C27" s="82">
        <v>37.8</v>
      </c>
      <c r="D27" s="82">
        <v>40.5</v>
      </c>
      <c r="E27" s="82">
        <v>141.2</v>
      </c>
      <c r="F27" s="82">
        <v>288.5</v>
      </c>
      <c r="G27" s="82">
        <v>52.8</v>
      </c>
      <c r="H27" s="82">
        <v>28.5</v>
      </c>
      <c r="I27" s="82">
        <v>20.3</v>
      </c>
      <c r="J27" s="82">
        <v>25.3</v>
      </c>
      <c r="K27" s="82">
        <v>14.6</v>
      </c>
      <c r="L27" s="82">
        <v>25.6</v>
      </c>
      <c r="M27" s="82">
        <v>63.7</v>
      </c>
      <c r="N27" s="82">
        <f>AVERAGE(B27:M27)</f>
        <v>72.36666666666666</v>
      </c>
    </row>
    <row r="28" spans="1:14" ht="14.25">
      <c r="A28" s="34">
        <v>2023</v>
      </c>
      <c r="B28" s="82">
        <v>132.1</v>
      </c>
      <c r="C28" s="82">
        <v>191.7</v>
      </c>
      <c r="D28" s="82">
        <v>250.2</v>
      </c>
      <c r="E28" s="82">
        <v>268.3</v>
      </c>
      <c r="F28" s="82">
        <v>186.2</v>
      </c>
      <c r="G28" s="82">
        <v>56.8</v>
      </c>
      <c r="H28" s="82">
        <v>55</v>
      </c>
      <c r="I28" s="82">
        <v>42.2</v>
      </c>
      <c r="J28" s="82">
        <v>109.5</v>
      </c>
      <c r="K28" s="82">
        <v>51.1</v>
      </c>
      <c r="L28" s="82">
        <v>52</v>
      </c>
      <c r="M28" s="82">
        <v>26</v>
      </c>
      <c r="N28" s="82">
        <f>AVERAGE(B28:M28)</f>
        <v>118.425</v>
      </c>
    </row>
    <row r="29" spans="1:14" ht="14.25">
      <c r="A29" s="28" t="s">
        <v>126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4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31"/>
  <sheetViews>
    <sheetView zoomScale="90" zoomScaleNormal="90" zoomScalePageLayoutView="0" workbookViewId="0" topLeftCell="A4">
      <selection activeCell="N28" sqref="N28"/>
    </sheetView>
  </sheetViews>
  <sheetFormatPr defaultColWidth="9.140625" defaultRowHeight="12.75"/>
  <cols>
    <col min="1" max="1" width="6.7109375" style="28" customWidth="1"/>
    <col min="2" max="16384" width="9.140625" style="28" customWidth="1"/>
  </cols>
  <sheetData>
    <row r="1" ht="15.75">
      <c r="A1" s="36" t="s">
        <v>135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7"/>
      <c r="B4" s="101" t="s">
        <v>21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4.25">
      <c r="A5" s="33">
        <v>2000</v>
      </c>
      <c r="B5" s="31">
        <v>51.9748681391392</v>
      </c>
      <c r="C5" s="31">
        <v>51.97493183532909</v>
      </c>
      <c r="D5" s="31">
        <v>50.27817428497264</v>
      </c>
      <c r="E5" s="31">
        <v>47.345576278501426</v>
      </c>
      <c r="F5" s="31">
        <v>49.072823382484565</v>
      </c>
      <c r="G5" s="31">
        <v>46.79843491999265</v>
      </c>
      <c r="H5" s="31">
        <v>42.387244233541324</v>
      </c>
      <c r="I5" s="31">
        <v>48.85477638634377</v>
      </c>
      <c r="J5" s="31">
        <v>45.86473278051242</v>
      </c>
      <c r="K5" s="31">
        <v>43.324764998159736</v>
      </c>
      <c r="L5" s="31">
        <v>45.7032728566939</v>
      </c>
      <c r="M5" s="31">
        <v>46.39323071583879</v>
      </c>
      <c r="N5" s="31">
        <v>47.4</v>
      </c>
    </row>
    <row r="6" spans="1:14" ht="14.25">
      <c r="A6" s="32">
        <v>2001</v>
      </c>
      <c r="B6" s="31">
        <v>42.4601675609548</v>
      </c>
      <c r="C6" s="31">
        <v>43.39008124589638</v>
      </c>
      <c r="D6" s="31">
        <v>44.27777447639922</v>
      </c>
      <c r="E6" s="31">
        <v>40.14377614881888</v>
      </c>
      <c r="F6" s="31">
        <v>37.282408100108924</v>
      </c>
      <c r="G6" s="31">
        <v>32.127222216638565</v>
      </c>
      <c r="H6" s="31">
        <v>30.91797630213216</v>
      </c>
      <c r="I6" s="31">
        <v>37.143942202719145</v>
      </c>
      <c r="J6" s="31">
        <v>40.989650387603284</v>
      </c>
      <c r="K6" s="31">
        <v>41.58064330439928</v>
      </c>
      <c r="L6" s="31">
        <v>39.46134881516889</v>
      </c>
      <c r="M6" s="31">
        <v>36.05440851926651</v>
      </c>
      <c r="N6" s="31">
        <v>38.5</v>
      </c>
    </row>
    <row r="7" spans="1:14" ht="14.25">
      <c r="A7" s="33">
        <v>2002</v>
      </c>
      <c r="B7" s="31">
        <v>40.54029414150755</v>
      </c>
      <c r="C7" s="31">
        <v>34.8984681376588</v>
      </c>
      <c r="D7" s="31">
        <v>34.92504876044792</v>
      </c>
      <c r="E7" s="31">
        <v>34.51846004002876</v>
      </c>
      <c r="F7" s="31">
        <v>32.112198141028884</v>
      </c>
      <c r="G7" s="31">
        <v>29.237347996833375</v>
      </c>
      <c r="H7" s="31">
        <v>36.56530901113636</v>
      </c>
      <c r="I7" s="31">
        <v>41.60665218289283</v>
      </c>
      <c r="J7" s="31">
        <v>38.68377301255039</v>
      </c>
      <c r="K7" s="31">
        <v>40.15982349137053</v>
      </c>
      <c r="L7" s="31">
        <v>43.021142476735605</v>
      </c>
      <c r="M7" s="31">
        <v>40.385957746568494</v>
      </c>
      <c r="N7" s="31">
        <v>36.9</v>
      </c>
    </row>
    <row r="8" spans="1:14" ht="14.25">
      <c r="A8" s="32">
        <v>2003</v>
      </c>
      <c r="B8" s="31">
        <v>40.766671259501635</v>
      </c>
      <c r="C8" s="31">
        <v>37.59635061164885</v>
      </c>
      <c r="D8" s="31">
        <v>37.41649737540454</v>
      </c>
      <c r="E8" s="31">
        <v>36.182509685950514</v>
      </c>
      <c r="F8" s="31">
        <v>36.68364240808711</v>
      </c>
      <c r="G8" s="31">
        <v>33.94093410986764</v>
      </c>
      <c r="H8" s="31">
        <v>51.256439927675224</v>
      </c>
      <c r="I8" s="31">
        <v>53.82037156868886</v>
      </c>
      <c r="J8" s="31">
        <v>54.742692907479565</v>
      </c>
      <c r="K8" s="31">
        <v>54.2314183246738</v>
      </c>
      <c r="L8" s="31">
        <v>37.50824913795161</v>
      </c>
      <c r="M8" s="31">
        <v>38.57461929867164</v>
      </c>
      <c r="N8" s="31">
        <v>41.6</v>
      </c>
    </row>
    <row r="9" spans="1:14" ht="14.25">
      <c r="A9" s="33">
        <v>2004</v>
      </c>
      <c r="B9" s="31">
        <v>38.60333137743848</v>
      </c>
      <c r="C9" s="31">
        <v>36.31329473129263</v>
      </c>
      <c r="D9" s="31">
        <v>44.504354272102326</v>
      </c>
      <c r="E9" s="31">
        <v>62.31401212099226</v>
      </c>
      <c r="F9" s="31">
        <v>54.58043641026966</v>
      </c>
      <c r="G9" s="31">
        <v>30.519081995580798</v>
      </c>
      <c r="H9" s="31">
        <v>34.99131224596513</v>
      </c>
      <c r="I9" s="31">
        <v>34.54032450885137</v>
      </c>
      <c r="J9" s="31">
        <v>41.61209615246938</v>
      </c>
      <c r="K9" s="31">
        <v>35.82808384364457</v>
      </c>
      <c r="L9" s="31">
        <v>38.07666316933682</v>
      </c>
      <c r="M9" s="31">
        <v>58.296085279770246</v>
      </c>
      <c r="N9" s="31">
        <v>40.7</v>
      </c>
    </row>
    <row r="10" spans="1:14" ht="14.25">
      <c r="A10" s="32">
        <v>2005</v>
      </c>
      <c r="B10" s="31">
        <v>35.453117604872745</v>
      </c>
      <c r="C10" s="31">
        <v>42.971457685210886</v>
      </c>
      <c r="D10" s="31">
        <v>32.89893183752442</v>
      </c>
      <c r="E10" s="31">
        <v>36.45567779314187</v>
      </c>
      <c r="F10" s="31">
        <v>30.210610046875498</v>
      </c>
      <c r="G10" s="31">
        <v>29.688584786808885</v>
      </c>
      <c r="H10" s="31">
        <v>30.024847446677377</v>
      </c>
      <c r="I10" s="31">
        <v>39.25983107034009</v>
      </c>
      <c r="J10" s="31">
        <v>40.26717956672152</v>
      </c>
      <c r="K10" s="31">
        <v>38.86489165429741</v>
      </c>
      <c r="L10" s="31">
        <v>39.998930766000704</v>
      </c>
      <c r="M10" s="31">
        <v>39.50235680172641</v>
      </c>
      <c r="N10" s="31">
        <v>36.299701421683146</v>
      </c>
    </row>
    <row r="11" spans="1:14" ht="14.25">
      <c r="A11" s="33">
        <v>2006</v>
      </c>
      <c r="B11" s="31">
        <v>37.886729768041505</v>
      </c>
      <c r="C11" s="31">
        <v>37.7207160992468</v>
      </c>
      <c r="D11" s="31">
        <v>37.9535773863313</v>
      </c>
      <c r="E11" s="31">
        <v>34.17138782209018</v>
      </c>
      <c r="F11" s="31">
        <v>35.43784642634074</v>
      </c>
      <c r="G11" s="31">
        <v>33.70279571047215</v>
      </c>
      <c r="H11" s="31">
        <v>33.28933932518772</v>
      </c>
      <c r="I11" s="31">
        <v>40.96627157427701</v>
      </c>
      <c r="J11" s="31">
        <v>45.927094780351894</v>
      </c>
      <c r="K11" s="31">
        <v>42.40029573881833</v>
      </c>
      <c r="L11" s="31">
        <v>43.81561554927082</v>
      </c>
      <c r="M11" s="31">
        <v>40.6871393350875</v>
      </c>
      <c r="N11" s="31">
        <v>38.66323412629299</v>
      </c>
    </row>
    <row r="12" spans="1:14" ht="14.25">
      <c r="A12" s="33">
        <v>2007</v>
      </c>
      <c r="B12" s="31">
        <v>39.92214194807884</v>
      </c>
      <c r="C12" s="31">
        <v>41.550155643691525</v>
      </c>
      <c r="D12" s="31">
        <v>40.96622470640343</v>
      </c>
      <c r="E12" s="31">
        <v>37.43910846975441</v>
      </c>
      <c r="F12" s="31">
        <v>38.39501418526907</v>
      </c>
      <c r="G12" s="31">
        <v>37.540507679128865</v>
      </c>
      <c r="H12" s="31">
        <v>33.960363039915165</v>
      </c>
      <c r="I12" s="31">
        <v>44.62916866792096</v>
      </c>
      <c r="J12" s="31">
        <v>40.76716558513141</v>
      </c>
      <c r="K12" s="31">
        <v>45.61911108119838</v>
      </c>
      <c r="L12" s="31">
        <v>45.29779804159695</v>
      </c>
      <c r="M12" s="31">
        <v>40.402224696742316</v>
      </c>
      <c r="N12" s="31">
        <v>40.54074864540261</v>
      </c>
    </row>
    <row r="13" spans="1:14" ht="14.25">
      <c r="A13" s="33">
        <v>2008</v>
      </c>
      <c r="B13" s="31">
        <v>38.86758789264388</v>
      </c>
      <c r="C13" s="31">
        <v>38.99728185969383</v>
      </c>
      <c r="D13" s="31">
        <v>42.79135853150647</v>
      </c>
      <c r="E13" s="31">
        <v>37.15825386037751</v>
      </c>
      <c r="F13" s="31">
        <v>45.956357973628734</v>
      </c>
      <c r="G13" s="31">
        <v>39.30102242125751</v>
      </c>
      <c r="H13" s="31">
        <v>36.39254093795276</v>
      </c>
      <c r="I13" s="31">
        <v>40.5087260947795</v>
      </c>
      <c r="J13" s="31">
        <v>45.199526654926736</v>
      </c>
      <c r="K13" s="31">
        <v>50.674956435440556</v>
      </c>
      <c r="L13" s="31">
        <v>42.40474146200912</v>
      </c>
      <c r="M13" s="31">
        <v>47.86901912663472</v>
      </c>
      <c r="N13" s="31">
        <v>42.17678110423761</v>
      </c>
    </row>
    <row r="14" spans="1:14" ht="14.25">
      <c r="A14" s="32">
        <v>2009</v>
      </c>
      <c r="B14" s="31">
        <v>42.48624785515246</v>
      </c>
      <c r="C14" s="31">
        <v>42.41638464414163</v>
      </c>
      <c r="D14" s="31">
        <v>40.804446434573556</v>
      </c>
      <c r="E14" s="31">
        <v>39.56337747269241</v>
      </c>
      <c r="F14" s="31">
        <v>37.73958461669856</v>
      </c>
      <c r="G14" s="31">
        <v>36.91602286663391</v>
      </c>
      <c r="H14" s="31">
        <v>37.85027094805539</v>
      </c>
      <c r="I14" s="31">
        <v>40.444681111384355</v>
      </c>
      <c r="J14" s="31">
        <v>43.74210448691549</v>
      </c>
      <c r="K14" s="31">
        <v>46.25972442642774</v>
      </c>
      <c r="L14" s="31">
        <v>44.01409317046569</v>
      </c>
      <c r="M14" s="31">
        <v>43.58581556830766</v>
      </c>
      <c r="N14" s="31">
        <v>41.31856280012074</v>
      </c>
    </row>
    <row r="15" spans="1:14" ht="14.25">
      <c r="A15" s="33">
        <v>2010</v>
      </c>
      <c r="B15" s="31">
        <v>41.332263623479435</v>
      </c>
      <c r="C15" s="31">
        <v>43.40914365017501</v>
      </c>
      <c r="D15" s="31">
        <v>40.1255081514298</v>
      </c>
      <c r="E15" s="31">
        <v>37.09546196627027</v>
      </c>
      <c r="F15" s="31">
        <v>37.24081521039189</v>
      </c>
      <c r="G15" s="31">
        <v>36.34142653621612</v>
      </c>
      <c r="H15" s="31">
        <v>39.639608135369095</v>
      </c>
      <c r="I15" s="31">
        <v>41.65274472271372</v>
      </c>
      <c r="J15" s="31">
        <v>43.4952903405126</v>
      </c>
      <c r="K15" s="31">
        <v>40.229511682193866</v>
      </c>
      <c r="L15" s="31">
        <v>45.44162606409451</v>
      </c>
      <c r="M15" s="31">
        <v>42.712924768030575</v>
      </c>
      <c r="N15" s="31">
        <v>40.72636040423974</v>
      </c>
    </row>
    <row r="16" spans="1:14" ht="14.25">
      <c r="A16" s="32">
        <v>2011</v>
      </c>
      <c r="B16" s="31">
        <v>44.628835846951084</v>
      </c>
      <c r="C16" s="31">
        <v>41.46749533189657</v>
      </c>
      <c r="D16" s="31">
        <v>40.85795471283492</v>
      </c>
      <c r="E16" s="31">
        <v>40.49245869899794</v>
      </c>
      <c r="F16" s="31">
        <v>42.07173873746542</v>
      </c>
      <c r="G16" s="31">
        <v>36.34171508043377</v>
      </c>
      <c r="H16" s="31">
        <v>33.873035729228704</v>
      </c>
      <c r="I16" s="31">
        <v>37.831397817257525</v>
      </c>
      <c r="J16" s="31">
        <v>41.527461180236145</v>
      </c>
      <c r="K16" s="31">
        <v>38.11562075100131</v>
      </c>
      <c r="L16" s="31">
        <v>40.179156046507465</v>
      </c>
      <c r="M16" s="31">
        <v>40.373598075432284</v>
      </c>
      <c r="N16" s="31">
        <v>39.813372334020265</v>
      </c>
    </row>
    <row r="17" spans="1:14" ht="14.25">
      <c r="A17" s="33">
        <v>2012</v>
      </c>
      <c r="B17" s="31">
        <v>36.23914053693104</v>
      </c>
      <c r="C17" s="31">
        <v>34.658687171478505</v>
      </c>
      <c r="D17" s="31">
        <v>34.29405155438685</v>
      </c>
      <c r="E17" s="31">
        <v>32.47033863632927</v>
      </c>
      <c r="F17" s="31">
        <v>32.09129557883882</v>
      </c>
      <c r="G17" s="31">
        <v>32.80551516789514</v>
      </c>
      <c r="H17" s="31">
        <v>37.52438959061493</v>
      </c>
      <c r="I17" s="31">
        <v>40.02167745876753</v>
      </c>
      <c r="J17" s="31">
        <v>40.43477405289733</v>
      </c>
      <c r="K17" s="31">
        <v>47.40674538012289</v>
      </c>
      <c r="L17" s="31">
        <v>42.817607658701625</v>
      </c>
      <c r="M17" s="31">
        <v>37.42099575285912</v>
      </c>
      <c r="N17" s="31">
        <v>37.34876821165192</v>
      </c>
    </row>
    <row r="18" spans="1:14" ht="14.25">
      <c r="A18" s="32">
        <v>2013</v>
      </c>
      <c r="B18" s="31">
        <v>36.80800599066359</v>
      </c>
      <c r="C18" s="31">
        <v>37.25108016026025</v>
      </c>
      <c r="D18" s="31">
        <v>38.12440742572548</v>
      </c>
      <c r="E18" s="31">
        <v>37.97963535409889</v>
      </c>
      <c r="F18" s="31">
        <v>34.382258372530615</v>
      </c>
      <c r="G18" s="31">
        <v>33.426981728444545</v>
      </c>
      <c r="H18" s="31">
        <v>38.1041265057232</v>
      </c>
      <c r="I18" s="31">
        <v>39.090418844549916</v>
      </c>
      <c r="J18" s="31">
        <v>40.80775665606663</v>
      </c>
      <c r="K18" s="31">
        <v>43.39573160602205</v>
      </c>
      <c r="L18" s="31">
        <v>42.582680566734346</v>
      </c>
      <c r="M18" s="31">
        <v>42.56663801979312</v>
      </c>
      <c r="N18" s="31">
        <v>38.70997676921772</v>
      </c>
    </row>
    <row r="19" spans="1:14" ht="14.25">
      <c r="A19" s="33">
        <v>2014</v>
      </c>
      <c r="B19" s="31">
        <v>42.834105311365214</v>
      </c>
      <c r="C19" s="31">
        <v>38.677492806565574</v>
      </c>
      <c r="D19" s="31">
        <v>36.51771354889252</v>
      </c>
      <c r="E19" s="31">
        <v>36.033262767099195</v>
      </c>
      <c r="F19" s="31">
        <v>33.329445495132944</v>
      </c>
      <c r="G19" s="31">
        <v>33.62713497879479</v>
      </c>
      <c r="H19" s="31">
        <v>34.90732569950465</v>
      </c>
      <c r="I19" s="31">
        <v>35.40148983709319</v>
      </c>
      <c r="J19" s="31">
        <v>35.85451627287555</v>
      </c>
      <c r="K19" s="31">
        <v>38.68912973526355</v>
      </c>
      <c r="L19" s="31">
        <v>36.17310634926028</v>
      </c>
      <c r="M19" s="31">
        <v>32.667234824643636</v>
      </c>
      <c r="N19" s="31">
        <v>36.22599646887426</v>
      </c>
    </row>
    <row r="20" spans="1:14" ht="14.25">
      <c r="A20" s="32">
        <v>2015</v>
      </c>
      <c r="B20" s="31">
        <v>33.11429354974262</v>
      </c>
      <c r="C20" s="31">
        <v>31.433594725620097</v>
      </c>
      <c r="D20" s="31">
        <v>33.896561762064756</v>
      </c>
      <c r="E20" s="31">
        <v>34.26178861390229</v>
      </c>
      <c r="F20" s="31">
        <v>33.727070179681704</v>
      </c>
      <c r="G20" s="31">
        <v>33.78836255532294</v>
      </c>
      <c r="H20" s="31">
        <v>35.335557796949914</v>
      </c>
      <c r="I20" s="31">
        <v>36.63084490107905</v>
      </c>
      <c r="J20" s="31">
        <v>33.41232336627524</v>
      </c>
      <c r="K20" s="31">
        <v>34.01058243575084</v>
      </c>
      <c r="L20" s="31">
        <v>36.088637956910055</v>
      </c>
      <c r="M20" s="31">
        <v>34.762635801763466</v>
      </c>
      <c r="N20" s="31">
        <v>34.20518780375525</v>
      </c>
    </row>
    <row r="21" spans="1:14" ht="14.25">
      <c r="A21" s="33">
        <v>2016</v>
      </c>
      <c r="B21" s="31">
        <v>32.17232854880534</v>
      </c>
      <c r="C21" s="31">
        <v>32.345062240426586</v>
      </c>
      <c r="D21" s="31">
        <v>30.758428543715855</v>
      </c>
      <c r="E21" s="31">
        <v>29.683330258547063</v>
      </c>
      <c r="F21" s="31">
        <v>28.52192645234501</v>
      </c>
      <c r="G21" s="31">
        <v>29.310288020869198</v>
      </c>
      <c r="H21" s="31">
        <v>29.658265588822285</v>
      </c>
      <c r="I21" s="31">
        <v>36.19461923658815</v>
      </c>
      <c r="J21" s="31">
        <v>37.35825141505124</v>
      </c>
      <c r="K21" s="31">
        <v>33.06259450962312</v>
      </c>
      <c r="L21" s="31">
        <v>38.93922802063333</v>
      </c>
      <c r="M21" s="31">
        <v>36.9844945070401</v>
      </c>
      <c r="N21" s="31">
        <v>32.91573477853894</v>
      </c>
    </row>
    <row r="22" spans="1:14" ht="14.25">
      <c r="A22" s="32">
        <v>2017</v>
      </c>
      <c r="B22" s="31">
        <v>32.087876908454014</v>
      </c>
      <c r="C22" s="31">
        <v>31.720755351777306</v>
      </c>
      <c r="D22" s="31">
        <v>30.499647955761073</v>
      </c>
      <c r="E22" s="31">
        <v>27.251985254272356</v>
      </c>
      <c r="F22" s="31">
        <v>30.78198010469299</v>
      </c>
      <c r="G22" s="31">
        <v>28.74369905253524</v>
      </c>
      <c r="H22" s="31">
        <v>29.3</v>
      </c>
      <c r="I22" s="31">
        <v>33.08206892490105</v>
      </c>
      <c r="J22" s="31">
        <v>33.179554387852214</v>
      </c>
      <c r="K22" s="31">
        <v>36.289822661188246</v>
      </c>
      <c r="L22" s="31">
        <v>37.69095545587876</v>
      </c>
      <c r="M22" s="31">
        <v>32.58451221734818</v>
      </c>
      <c r="N22" s="31">
        <v>32.3</v>
      </c>
    </row>
    <row r="23" spans="1:14" ht="14.25">
      <c r="A23" s="32">
        <v>2018</v>
      </c>
      <c r="B23" s="31">
        <v>33.16366511413257</v>
      </c>
      <c r="C23" s="31">
        <v>31.079308083135977</v>
      </c>
      <c r="D23" s="31">
        <v>33.61484666155955</v>
      </c>
      <c r="E23" s="31">
        <v>30.16635190095545</v>
      </c>
      <c r="F23" s="31">
        <v>30.537657335922404</v>
      </c>
      <c r="G23" s="31">
        <v>27.63619787834332</v>
      </c>
      <c r="H23" s="31">
        <v>29</v>
      </c>
      <c r="I23" s="31">
        <v>32.4</v>
      </c>
      <c r="J23" s="31">
        <v>36.1</v>
      </c>
      <c r="K23" s="31">
        <v>35</v>
      </c>
      <c r="L23" s="31">
        <v>37.3</v>
      </c>
      <c r="M23" s="31">
        <v>35.4</v>
      </c>
      <c r="N23" s="31">
        <v>32.5</v>
      </c>
    </row>
    <row r="24" spans="1:14" ht="14.25">
      <c r="A24" s="32">
        <v>2019</v>
      </c>
      <c r="B24" s="31">
        <v>37.73740625561528</v>
      </c>
      <c r="C24" s="31">
        <v>35.69856655823242</v>
      </c>
      <c r="D24" s="31">
        <v>33.7</v>
      </c>
      <c r="E24" s="31">
        <v>33.7</v>
      </c>
      <c r="F24" s="31">
        <v>30.5</v>
      </c>
      <c r="G24" s="31">
        <v>29.4</v>
      </c>
      <c r="H24" s="31">
        <v>30.3</v>
      </c>
      <c r="I24" s="31">
        <v>33.3</v>
      </c>
      <c r="J24" s="31">
        <v>36.8</v>
      </c>
      <c r="K24" s="31">
        <v>40.5</v>
      </c>
      <c r="L24" s="31">
        <v>39.9</v>
      </c>
      <c r="M24" s="31">
        <v>37.3</v>
      </c>
      <c r="N24" s="31">
        <v>34.6</v>
      </c>
    </row>
    <row r="25" spans="1:14" ht="14.25">
      <c r="A25" s="34">
        <v>2020</v>
      </c>
      <c r="B25" s="82">
        <v>33.3</v>
      </c>
      <c r="C25" s="82">
        <v>30.8</v>
      </c>
      <c r="D25" s="82">
        <v>35.4</v>
      </c>
      <c r="E25" s="82">
        <v>32.9</v>
      </c>
      <c r="F25" s="82">
        <v>31.2</v>
      </c>
      <c r="G25" s="82">
        <v>40.4</v>
      </c>
      <c r="H25" s="82">
        <v>43.7</v>
      </c>
      <c r="I25" s="82">
        <v>40.7</v>
      </c>
      <c r="J25" s="82">
        <v>38.3</v>
      </c>
      <c r="K25" s="82">
        <v>46.2</v>
      </c>
      <c r="L25" s="82">
        <v>46.1</v>
      </c>
      <c r="M25" s="82">
        <v>41.4</v>
      </c>
      <c r="N25" s="82">
        <v>37.6</v>
      </c>
    </row>
    <row r="26" spans="1:14" ht="14.25">
      <c r="A26" s="34">
        <v>2021</v>
      </c>
      <c r="B26" s="82">
        <v>41.1</v>
      </c>
      <c r="C26" s="82">
        <v>41.5</v>
      </c>
      <c r="D26" s="82">
        <v>39.2</v>
      </c>
      <c r="E26" s="82">
        <v>40</v>
      </c>
      <c r="F26" s="82">
        <v>37.4</v>
      </c>
      <c r="G26" s="82">
        <v>31.2</v>
      </c>
      <c r="H26" s="82">
        <v>28.3</v>
      </c>
      <c r="I26" s="82">
        <v>29.5</v>
      </c>
      <c r="J26" s="82">
        <v>31.5</v>
      </c>
      <c r="K26" s="82">
        <v>33.8</v>
      </c>
      <c r="L26" s="82">
        <v>33.8</v>
      </c>
      <c r="M26" s="82">
        <v>34.8</v>
      </c>
      <c r="N26" s="82">
        <v>34.7</v>
      </c>
    </row>
    <row r="27" spans="1:14" ht="14.25">
      <c r="A27" s="34">
        <v>2022</v>
      </c>
      <c r="B27" s="82">
        <v>36</v>
      </c>
      <c r="C27" s="82">
        <v>39.5</v>
      </c>
      <c r="D27" s="82">
        <v>39.1</v>
      </c>
      <c r="E27" s="82">
        <v>34.3</v>
      </c>
      <c r="F27" s="82">
        <v>30.1</v>
      </c>
      <c r="G27" s="82">
        <v>34.9</v>
      </c>
      <c r="H27" s="82">
        <v>35.7</v>
      </c>
      <c r="I27" s="82">
        <v>38.9</v>
      </c>
      <c r="J27" s="82">
        <v>39.1</v>
      </c>
      <c r="K27" s="82">
        <v>39.4</v>
      </c>
      <c r="L27" s="82">
        <v>40</v>
      </c>
      <c r="M27" s="82">
        <v>39.4</v>
      </c>
      <c r="N27" s="82">
        <v>37</v>
      </c>
    </row>
    <row r="28" spans="1:14" ht="14.25">
      <c r="A28" s="34">
        <v>2023</v>
      </c>
      <c r="B28" s="82">
        <v>37.1</v>
      </c>
      <c r="C28" s="82">
        <v>34.7</v>
      </c>
      <c r="D28" s="82">
        <v>33.2</v>
      </c>
      <c r="E28" s="82">
        <v>29.9</v>
      </c>
      <c r="F28" s="82">
        <v>32.9</v>
      </c>
      <c r="G28" s="82">
        <v>36.4</v>
      </c>
      <c r="H28" s="82">
        <v>35.3</v>
      </c>
      <c r="I28" s="82">
        <v>38.3</v>
      </c>
      <c r="J28" s="82">
        <v>35.9</v>
      </c>
      <c r="K28" s="82">
        <v>39.6</v>
      </c>
      <c r="L28" s="82">
        <v>40.3</v>
      </c>
      <c r="M28" s="82">
        <v>40.5</v>
      </c>
      <c r="N28" s="82">
        <v>36</v>
      </c>
    </row>
    <row r="29" spans="2:14" ht="14.25"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2:14" ht="14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ht="14.25">
      <c r="A31" s="28" t="s">
        <v>126</v>
      </c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30"/>
  <sheetViews>
    <sheetView zoomScale="90" zoomScaleNormal="90" zoomScalePageLayoutView="0" workbookViewId="0" topLeftCell="A13">
      <selection activeCell="N29" sqref="N29"/>
    </sheetView>
  </sheetViews>
  <sheetFormatPr defaultColWidth="9.140625" defaultRowHeight="12.75"/>
  <cols>
    <col min="1" max="1" width="6.7109375" style="28" customWidth="1"/>
    <col min="2" max="16384" width="9.140625" style="28" customWidth="1"/>
  </cols>
  <sheetData>
    <row r="1" ht="15.75">
      <c r="A1" s="36" t="s">
        <v>136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7"/>
      <c r="B4" s="101" t="s">
        <v>21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4.25">
      <c r="A5" s="33">
        <v>2000</v>
      </c>
      <c r="B5" s="31">
        <v>15.364278663453737</v>
      </c>
      <c r="C5" s="31">
        <v>17.736380361723683</v>
      </c>
      <c r="D5" s="31">
        <v>19.21283493085609</v>
      </c>
      <c r="E5" s="31">
        <v>16.046642381780945</v>
      </c>
      <c r="F5" s="31">
        <v>15.712275867342932</v>
      </c>
      <c r="G5" s="31">
        <v>15.847337528687516</v>
      </c>
      <c r="H5" s="31">
        <v>17.507474840417938</v>
      </c>
      <c r="I5" s="31">
        <v>16.423497411940357</v>
      </c>
      <c r="J5" s="31">
        <v>16.510386157193036</v>
      </c>
      <c r="K5" s="31">
        <v>12.419105970651636</v>
      </c>
      <c r="L5" s="31">
        <v>11.287491430054276</v>
      </c>
      <c r="M5" s="31">
        <v>6.673198048079057</v>
      </c>
      <c r="N5" s="31">
        <v>15.061741966015099</v>
      </c>
    </row>
    <row r="6" spans="1:14" ht="14.25">
      <c r="A6" s="32">
        <v>2001</v>
      </c>
      <c r="B6" s="31">
        <v>11.8880339107644</v>
      </c>
      <c r="C6" s="31">
        <v>6.777953083953438</v>
      </c>
      <c r="D6" s="31">
        <v>6.898555463142034</v>
      </c>
      <c r="E6" s="31">
        <v>7.363926319061928</v>
      </c>
      <c r="F6" s="31">
        <v>7.42326618266443</v>
      </c>
      <c r="G6" s="31">
        <v>11.06253820204813</v>
      </c>
      <c r="H6" s="31">
        <v>14.6501516149835</v>
      </c>
      <c r="I6" s="31">
        <v>15.878161273497703</v>
      </c>
      <c r="J6" s="31">
        <v>15.122621417155734</v>
      </c>
      <c r="K6" s="31">
        <v>14.859627902596173</v>
      </c>
      <c r="L6" s="31">
        <v>13.747315099623652</v>
      </c>
      <c r="M6" s="31">
        <v>12.142991131118741</v>
      </c>
      <c r="N6" s="31">
        <v>11.484595133384156</v>
      </c>
    </row>
    <row r="7" spans="1:14" ht="14.25">
      <c r="A7" s="33">
        <v>2002</v>
      </c>
      <c r="B7" s="31">
        <v>14.251744596332793</v>
      </c>
      <c r="C7" s="31">
        <v>14.243467811837585</v>
      </c>
      <c r="D7" s="31">
        <v>10.66939304380622</v>
      </c>
      <c r="E7" s="31">
        <v>11.02203883212511</v>
      </c>
      <c r="F7" s="31">
        <v>13.611102434604257</v>
      </c>
      <c r="G7" s="31">
        <v>13.245708855516437</v>
      </c>
      <c r="H7" s="31">
        <v>7.145350595075373</v>
      </c>
      <c r="I7" s="31">
        <v>16.747137608467817</v>
      </c>
      <c r="J7" s="31">
        <v>15.4629106773096</v>
      </c>
      <c r="K7" s="31">
        <v>15.278657285335177</v>
      </c>
      <c r="L7" s="31">
        <v>10.598609542824839</v>
      </c>
      <c r="M7" s="31">
        <v>9.66904343022183</v>
      </c>
      <c r="N7" s="31">
        <v>12.662097059454753</v>
      </c>
    </row>
    <row r="8" spans="1:14" ht="14.25">
      <c r="A8" s="32">
        <v>2003</v>
      </c>
      <c r="B8" s="31">
        <v>10.545403482284012</v>
      </c>
      <c r="C8" s="31">
        <v>14.830586027707188</v>
      </c>
      <c r="D8" s="31">
        <v>12.36185777065547</v>
      </c>
      <c r="E8" s="31">
        <v>15.092020190780008</v>
      </c>
      <c r="F8" s="31">
        <v>15.220095485337131</v>
      </c>
      <c r="G8" s="31">
        <v>15.813381921248308</v>
      </c>
      <c r="H8" s="31">
        <v>24.720728379837745</v>
      </c>
      <c r="I8" s="31">
        <v>24.380868579013697</v>
      </c>
      <c r="J8" s="31">
        <v>24.71611816555765</v>
      </c>
      <c r="K8" s="31">
        <v>20.587002733025166</v>
      </c>
      <c r="L8" s="31">
        <v>14.537358329638778</v>
      </c>
      <c r="M8" s="31">
        <v>12.233606550197724</v>
      </c>
      <c r="N8" s="31">
        <v>17.08658563460691</v>
      </c>
    </row>
    <row r="9" spans="1:14" ht="14.25">
      <c r="A9" s="33">
        <v>2004</v>
      </c>
      <c r="B9" s="31">
        <v>14.746273049059786</v>
      </c>
      <c r="C9" s="31">
        <v>14.724806598565241</v>
      </c>
      <c r="D9" s="31">
        <v>17.907272500518967</v>
      </c>
      <c r="E9" s="31">
        <v>25.940207903603703</v>
      </c>
      <c r="F9" s="31">
        <v>26.443096908022053</v>
      </c>
      <c r="G9" s="31">
        <v>15.514261638082383</v>
      </c>
      <c r="H9" s="31">
        <v>15.774206951787617</v>
      </c>
      <c r="I9" s="31">
        <v>15.99258838926471</v>
      </c>
      <c r="J9" s="31">
        <v>17.574479228905012</v>
      </c>
      <c r="K9" s="31">
        <v>14.989256578228371</v>
      </c>
      <c r="L9" s="31">
        <v>14.951853471451496</v>
      </c>
      <c r="M9" s="31">
        <v>21.439390799376294</v>
      </c>
      <c r="N9" s="31">
        <v>17.999807834738803</v>
      </c>
    </row>
    <row r="10" spans="1:14" ht="14.25">
      <c r="A10" s="32">
        <v>2005</v>
      </c>
      <c r="B10" s="31">
        <v>14.572065078833363</v>
      </c>
      <c r="C10" s="31">
        <v>18.798770202418787</v>
      </c>
      <c r="D10" s="31">
        <v>15.157193979296549</v>
      </c>
      <c r="E10" s="31">
        <v>17.80672530281054</v>
      </c>
      <c r="F10" s="31">
        <v>15.627370981772717</v>
      </c>
      <c r="G10" s="31">
        <v>16.88537638918233</v>
      </c>
      <c r="H10" s="31">
        <v>16.526822345779923</v>
      </c>
      <c r="I10" s="31">
        <v>18.704404983900208</v>
      </c>
      <c r="J10" s="31">
        <v>17.342107847381083</v>
      </c>
      <c r="K10" s="31">
        <v>17.500990743118454</v>
      </c>
      <c r="L10" s="31">
        <v>15.318801494811375</v>
      </c>
      <c r="M10" s="31">
        <v>13.15936080182603</v>
      </c>
      <c r="N10" s="31">
        <v>16.449999179260946</v>
      </c>
    </row>
    <row r="11" spans="1:14" ht="14.25">
      <c r="A11" s="33">
        <v>2006</v>
      </c>
      <c r="B11" s="31">
        <v>15.096812462843923</v>
      </c>
      <c r="C11" s="31">
        <v>15.139606976429382</v>
      </c>
      <c r="D11" s="31">
        <v>15.573933819283353</v>
      </c>
      <c r="E11" s="31">
        <v>15.398370824490174</v>
      </c>
      <c r="F11" s="31">
        <v>15.584891869413353</v>
      </c>
      <c r="G11" s="31">
        <v>17.147842159846245</v>
      </c>
      <c r="H11" s="31">
        <v>17.501791700545258</v>
      </c>
      <c r="I11" s="31">
        <v>20.322762600014542</v>
      </c>
      <c r="J11" s="31">
        <v>19.809334185545854</v>
      </c>
      <c r="K11" s="31">
        <v>17.834827997782412</v>
      </c>
      <c r="L11" s="31">
        <v>19.039448590186485</v>
      </c>
      <c r="M11" s="31">
        <v>16.49325419134331</v>
      </c>
      <c r="N11" s="31">
        <v>17.078573114810357</v>
      </c>
    </row>
    <row r="12" spans="1:14" ht="14.25">
      <c r="A12" s="33">
        <v>2007</v>
      </c>
      <c r="B12" s="31">
        <v>19.309172896606913</v>
      </c>
      <c r="C12" s="31">
        <v>19.176036145174834</v>
      </c>
      <c r="D12" s="31">
        <v>20.810896240517156</v>
      </c>
      <c r="E12" s="31">
        <v>20.93480517507305</v>
      </c>
      <c r="F12" s="31">
        <v>19.963470537015045</v>
      </c>
      <c r="G12" s="31">
        <v>22.85017288521982</v>
      </c>
      <c r="H12" s="31">
        <v>19.185461108236364</v>
      </c>
      <c r="I12" s="31">
        <v>15.81938162613846</v>
      </c>
      <c r="J12" s="31">
        <v>15.92528133444382</v>
      </c>
      <c r="K12" s="31">
        <v>12.749730340080614</v>
      </c>
      <c r="L12" s="31">
        <v>10.906985849305354</v>
      </c>
      <c r="M12" s="31">
        <v>14.416209387723322</v>
      </c>
      <c r="N12" s="31">
        <v>17.670633627127895</v>
      </c>
    </row>
    <row r="13" spans="1:14" ht="14.25">
      <c r="A13" s="33">
        <v>2008</v>
      </c>
      <c r="B13" s="31">
        <v>17.16098627718341</v>
      </c>
      <c r="C13" s="31">
        <v>16.47477772023243</v>
      </c>
      <c r="D13" s="31">
        <v>19.1739917603627</v>
      </c>
      <c r="E13" s="31">
        <v>17.598196170592427</v>
      </c>
      <c r="F13" s="31">
        <v>21.43489222677239</v>
      </c>
      <c r="G13" s="31">
        <v>21.757658353865164</v>
      </c>
      <c r="H13" s="31">
        <v>19.563940847741865</v>
      </c>
      <c r="I13" s="31">
        <v>19.899837723624263</v>
      </c>
      <c r="J13" s="31">
        <v>19.619949798705452</v>
      </c>
      <c r="K13" s="31">
        <v>20.320937060218867</v>
      </c>
      <c r="L13" s="31">
        <v>16.93416007432097</v>
      </c>
      <c r="M13" s="31">
        <v>18.27107391448457</v>
      </c>
      <c r="N13" s="31">
        <v>19.01753349400871</v>
      </c>
    </row>
    <row r="14" spans="1:14" ht="14.25">
      <c r="A14" s="32">
        <v>2009</v>
      </c>
      <c r="B14" s="31">
        <v>17.70832910175523</v>
      </c>
      <c r="C14" s="31">
        <v>18.334973143784826</v>
      </c>
      <c r="D14" s="31">
        <v>18.83514489083411</v>
      </c>
      <c r="E14" s="31">
        <v>19.59929053010443</v>
      </c>
      <c r="F14" s="31">
        <v>18.76266155345003</v>
      </c>
      <c r="G14" s="31">
        <v>20.230677097911915</v>
      </c>
      <c r="H14" s="31">
        <v>20.038007968942587</v>
      </c>
      <c r="I14" s="31">
        <v>21.920948176939945</v>
      </c>
      <c r="J14" s="31">
        <v>21.37878139415024</v>
      </c>
      <c r="K14" s="31">
        <v>19.377319191058113</v>
      </c>
      <c r="L14" s="31">
        <v>19.722686128853265</v>
      </c>
      <c r="M14" s="31">
        <v>17.420002844932764</v>
      </c>
      <c r="N14" s="31">
        <v>19.444068501893124</v>
      </c>
    </row>
    <row r="15" spans="1:14" ht="14.25">
      <c r="A15" s="33">
        <v>2010</v>
      </c>
      <c r="B15" s="31">
        <v>17.878923294513317</v>
      </c>
      <c r="C15" s="31">
        <v>15.335294967137012</v>
      </c>
      <c r="D15" s="31">
        <v>19.214483977295636</v>
      </c>
      <c r="E15" s="31">
        <v>18.60670789322776</v>
      </c>
      <c r="F15" s="31">
        <v>13.306320720970024</v>
      </c>
      <c r="G15" s="31">
        <v>15.877842406999735</v>
      </c>
      <c r="H15" s="31">
        <v>13.321254228618026</v>
      </c>
      <c r="I15" s="31">
        <v>16.586127513156306</v>
      </c>
      <c r="J15" s="31">
        <v>14.132291657346915</v>
      </c>
      <c r="K15" s="31">
        <v>18.103125371427275</v>
      </c>
      <c r="L15" s="31">
        <v>11.861227255073658</v>
      </c>
      <c r="M15" s="31">
        <v>13.939319248596624</v>
      </c>
      <c r="N15" s="31">
        <v>15.680243211196858</v>
      </c>
    </row>
    <row r="16" spans="1:14" ht="14.25">
      <c r="A16" s="32">
        <v>2011</v>
      </c>
      <c r="B16" s="31">
        <v>12.172439842908593</v>
      </c>
      <c r="C16" s="31">
        <v>12.181991259074202</v>
      </c>
      <c r="D16" s="31">
        <v>19.407782766382333</v>
      </c>
      <c r="E16" s="31">
        <v>13.506551116819027</v>
      </c>
      <c r="F16" s="31">
        <v>8.1075073471744</v>
      </c>
      <c r="G16" s="31">
        <v>10.575011995675707</v>
      </c>
      <c r="H16" s="31">
        <v>18.81738969085717</v>
      </c>
      <c r="I16" s="31">
        <v>20.32048562928701</v>
      </c>
      <c r="J16" s="31">
        <v>18.80700807785889</v>
      </c>
      <c r="K16" s="31">
        <v>18.16174674392305</v>
      </c>
      <c r="L16" s="31">
        <v>15.333357009035925</v>
      </c>
      <c r="M16" s="31">
        <v>16.771749177278494</v>
      </c>
      <c r="N16" s="31">
        <v>15.3469183880229</v>
      </c>
    </row>
    <row r="17" spans="1:14" ht="14.25">
      <c r="A17" s="33">
        <v>2012</v>
      </c>
      <c r="B17" s="31">
        <v>18.49369403115665</v>
      </c>
      <c r="C17" s="31">
        <v>17.10380213478906</v>
      </c>
      <c r="D17" s="31">
        <v>17.063471726194887</v>
      </c>
      <c r="E17" s="31">
        <v>16.805583570418932</v>
      </c>
      <c r="F17" s="31">
        <v>18.916946313333884</v>
      </c>
      <c r="G17" s="31">
        <v>19.897357281872306</v>
      </c>
      <c r="H17" s="31">
        <v>23.029280586264267</v>
      </c>
      <c r="I17" s="31">
        <v>23.27952106705181</v>
      </c>
      <c r="J17" s="31">
        <v>24.069736621128392</v>
      </c>
      <c r="K17" s="31">
        <v>23.68835098722096</v>
      </c>
      <c r="L17" s="31">
        <v>17.191367677749323</v>
      </c>
      <c r="M17" s="31">
        <v>14.675098560036401</v>
      </c>
      <c r="N17" s="31">
        <v>19.517850879768073</v>
      </c>
    </row>
    <row r="18" spans="1:14" ht="14.25">
      <c r="A18" s="32">
        <v>2013</v>
      </c>
      <c r="B18" s="31">
        <v>18.97930578824812</v>
      </c>
      <c r="C18" s="31">
        <v>14.97537813391428</v>
      </c>
      <c r="D18" s="31">
        <v>12.950174542128137</v>
      </c>
      <c r="E18" s="31">
        <v>13.175189102200235</v>
      </c>
      <c r="F18" s="31">
        <v>20.222182007076196</v>
      </c>
      <c r="G18" s="31">
        <v>15.067183443037704</v>
      </c>
      <c r="H18" s="31">
        <v>12.322961182620155</v>
      </c>
      <c r="I18" s="31">
        <v>15.941041798670835</v>
      </c>
      <c r="J18" s="31">
        <v>15.399788808427875</v>
      </c>
      <c r="K18" s="31">
        <v>13.495349253835478</v>
      </c>
      <c r="L18" s="31">
        <v>11.515785610965395</v>
      </c>
      <c r="M18" s="31">
        <v>9.105239872131628</v>
      </c>
      <c r="N18" s="31">
        <v>14.429131628604672</v>
      </c>
    </row>
    <row r="19" spans="1:14" ht="14.25">
      <c r="A19" s="33">
        <v>2014</v>
      </c>
      <c r="B19" s="31">
        <v>11.776306674643436</v>
      </c>
      <c r="C19" s="31">
        <v>16.166399572138342</v>
      </c>
      <c r="D19" s="31">
        <v>13.791971900123801</v>
      </c>
      <c r="E19" s="31">
        <v>15.796851705418117</v>
      </c>
      <c r="F19" s="31">
        <v>13.364152612117945</v>
      </c>
      <c r="G19" s="31">
        <v>11.712096043863463</v>
      </c>
      <c r="H19" s="31">
        <v>11.013318017885988</v>
      </c>
      <c r="I19" s="31">
        <v>11.4594480765862</v>
      </c>
      <c r="J19" s="31">
        <v>14.686126956620365</v>
      </c>
      <c r="K19" s="31">
        <v>21.99776470746468</v>
      </c>
      <c r="L19" s="31">
        <v>18.73514838428882</v>
      </c>
      <c r="M19" s="31">
        <v>14.882448169677275</v>
      </c>
      <c r="N19" s="31">
        <v>14.615169401735704</v>
      </c>
    </row>
    <row r="20" spans="1:14" ht="14.25">
      <c r="A20" s="32">
        <v>2015</v>
      </c>
      <c r="B20" s="31">
        <v>18.59949281357939</v>
      </c>
      <c r="C20" s="31">
        <v>19.345679886957107</v>
      </c>
      <c r="D20" s="31">
        <v>21.624208058571618</v>
      </c>
      <c r="E20" s="31">
        <v>22.05209021703371</v>
      </c>
      <c r="F20" s="31">
        <v>22.73088411832139</v>
      </c>
      <c r="G20" s="31">
        <v>24.370875699821283</v>
      </c>
      <c r="H20" s="31">
        <v>25.156765541786196</v>
      </c>
      <c r="I20" s="31">
        <v>26.896274248438136</v>
      </c>
      <c r="J20" s="31">
        <v>22.88226860784959</v>
      </c>
      <c r="K20" s="31">
        <v>19.87104278365054</v>
      </c>
      <c r="L20" s="31">
        <v>11.794548097792354</v>
      </c>
      <c r="M20" s="31">
        <v>10.622749695608048</v>
      </c>
      <c r="N20" s="31">
        <v>20.495573314117447</v>
      </c>
    </row>
    <row r="21" spans="1:14" ht="14.25">
      <c r="A21" s="33">
        <v>2016</v>
      </c>
      <c r="B21" s="31">
        <v>20.343006406295004</v>
      </c>
      <c r="C21" s="31">
        <v>19.076403706698887</v>
      </c>
      <c r="D21" s="31">
        <v>20.752284194025147</v>
      </c>
      <c r="E21" s="31">
        <v>20.497343786711166</v>
      </c>
      <c r="F21" s="31">
        <v>18.80057678837901</v>
      </c>
      <c r="G21" s="31">
        <v>15.406490722378319</v>
      </c>
      <c r="H21" s="31">
        <v>19.300399189680405</v>
      </c>
      <c r="I21" s="31">
        <v>26.689475569301113</v>
      </c>
      <c r="J21" s="31">
        <v>22.8579342704261</v>
      </c>
      <c r="K21" s="31">
        <v>20.520849644490045</v>
      </c>
      <c r="L21" s="31">
        <v>21.154948293154686</v>
      </c>
      <c r="M21" s="31">
        <v>18.150937743744635</v>
      </c>
      <c r="N21" s="31">
        <v>20.295887526273713</v>
      </c>
    </row>
    <row r="22" spans="1:14" ht="14.25">
      <c r="A22" s="32">
        <v>2017</v>
      </c>
      <c r="B22" s="31">
        <v>20.601297235088605</v>
      </c>
      <c r="C22" s="31">
        <v>20.2301925114068</v>
      </c>
      <c r="D22" s="31">
        <v>18.246341540848803</v>
      </c>
      <c r="E22" s="31">
        <v>19.823359394220738</v>
      </c>
      <c r="F22" s="31">
        <v>21.992245880799153</v>
      </c>
      <c r="G22" s="31">
        <v>20.331373366235724</v>
      </c>
      <c r="H22" s="31">
        <v>15.2</v>
      </c>
      <c r="I22" s="31">
        <v>17.923384391375286</v>
      </c>
      <c r="J22" s="31">
        <v>17.259428828844605</v>
      </c>
      <c r="K22" s="31">
        <v>21.421169331380383</v>
      </c>
      <c r="L22" s="31">
        <v>18.231478990079435</v>
      </c>
      <c r="M22" s="31">
        <v>15.765800528980995</v>
      </c>
      <c r="N22" s="31">
        <v>19.2</v>
      </c>
    </row>
    <row r="23" spans="1:14" ht="14.25">
      <c r="A23" s="32">
        <v>2018</v>
      </c>
      <c r="B23" s="31">
        <v>18.76115194673049</v>
      </c>
      <c r="C23" s="31">
        <v>19.94131287879179</v>
      </c>
      <c r="D23" s="31">
        <v>21.150731018293655</v>
      </c>
      <c r="E23" s="31">
        <v>20.323594015026135</v>
      </c>
      <c r="F23" s="31">
        <v>22.863317735448206</v>
      </c>
      <c r="G23" s="31">
        <v>20.5668393252456</v>
      </c>
      <c r="H23" s="31">
        <v>17.2</v>
      </c>
      <c r="I23" s="31">
        <v>21.8</v>
      </c>
      <c r="J23" s="31">
        <v>22.3</v>
      </c>
      <c r="K23" s="31">
        <v>20.8</v>
      </c>
      <c r="L23" s="31">
        <v>16</v>
      </c>
      <c r="M23" s="31">
        <v>11.6</v>
      </c>
      <c r="N23" s="31">
        <v>19.5</v>
      </c>
    </row>
    <row r="24" spans="1:14" ht="14.25">
      <c r="A24" s="32">
        <v>2019</v>
      </c>
      <c r="B24" s="31">
        <v>13.771890256727055</v>
      </c>
      <c r="C24" s="31">
        <v>12.312816977721186</v>
      </c>
      <c r="D24" s="31">
        <v>13.2</v>
      </c>
      <c r="E24" s="31">
        <v>15.7</v>
      </c>
      <c r="F24" s="31">
        <v>16.9</v>
      </c>
      <c r="G24" s="31">
        <v>17</v>
      </c>
      <c r="H24" s="31">
        <v>20.1</v>
      </c>
      <c r="I24" s="31">
        <v>20.4</v>
      </c>
      <c r="J24" s="31">
        <v>24.1</v>
      </c>
      <c r="K24" s="31">
        <v>23.1</v>
      </c>
      <c r="L24" s="31">
        <v>21</v>
      </c>
      <c r="M24" s="31">
        <v>18.7</v>
      </c>
      <c r="N24" s="31">
        <v>17.9</v>
      </c>
    </row>
    <row r="25" spans="1:14" ht="14.25">
      <c r="A25" s="34">
        <v>2020</v>
      </c>
      <c r="B25" s="82">
        <v>19.4</v>
      </c>
      <c r="C25" s="82">
        <v>20.7</v>
      </c>
      <c r="D25" s="82">
        <v>18</v>
      </c>
      <c r="E25" s="82">
        <v>16.5</v>
      </c>
      <c r="F25" s="82">
        <v>19.7</v>
      </c>
      <c r="G25" s="82">
        <v>25.8</v>
      </c>
      <c r="H25" s="82">
        <v>26.2</v>
      </c>
      <c r="I25" s="82">
        <v>30.8</v>
      </c>
      <c r="J25" s="82">
        <v>26.7</v>
      </c>
      <c r="K25" s="82">
        <v>28.4</v>
      </c>
      <c r="L25" s="82">
        <v>24.5</v>
      </c>
      <c r="M25" s="82">
        <v>20.9</v>
      </c>
      <c r="N25" s="82">
        <v>22.6</v>
      </c>
    </row>
    <row r="26" spans="1:14" ht="14.25">
      <c r="A26" s="34">
        <v>2021</v>
      </c>
      <c r="B26" s="82">
        <v>24.3</v>
      </c>
      <c r="C26" s="82">
        <v>23.2</v>
      </c>
      <c r="D26" s="82">
        <v>24.5</v>
      </c>
      <c r="E26" s="82">
        <v>22.5</v>
      </c>
      <c r="F26" s="82">
        <v>24.1</v>
      </c>
      <c r="G26" s="82">
        <v>23.8</v>
      </c>
      <c r="H26" s="82">
        <v>17.7</v>
      </c>
      <c r="I26" s="82">
        <v>21.1</v>
      </c>
      <c r="J26" s="82">
        <v>19.7</v>
      </c>
      <c r="K26" s="82">
        <v>19.6</v>
      </c>
      <c r="L26" s="82">
        <v>18.1</v>
      </c>
      <c r="M26" s="82">
        <v>12.7</v>
      </c>
      <c r="N26" s="82">
        <v>20.7</v>
      </c>
    </row>
    <row r="27" spans="1:14" ht="14.25">
      <c r="A27" s="34">
        <v>2022</v>
      </c>
      <c r="B27" s="82">
        <v>10.4</v>
      </c>
      <c r="C27" s="82">
        <v>10.6</v>
      </c>
      <c r="D27" s="82">
        <v>10</v>
      </c>
      <c r="E27" s="82">
        <v>10.1</v>
      </c>
      <c r="F27" s="82">
        <v>10.6</v>
      </c>
      <c r="G27" s="82">
        <v>9</v>
      </c>
      <c r="H27" s="82">
        <v>8.1</v>
      </c>
      <c r="I27" s="82">
        <v>8.3</v>
      </c>
      <c r="J27" s="82">
        <v>8.7</v>
      </c>
      <c r="K27" s="82">
        <v>8.6</v>
      </c>
      <c r="L27" s="82">
        <v>7.1</v>
      </c>
      <c r="M27" s="82">
        <v>6.3</v>
      </c>
      <c r="N27" s="82">
        <v>9</v>
      </c>
    </row>
    <row r="28" spans="1:14" ht="14.25">
      <c r="A28" s="34">
        <v>2023</v>
      </c>
      <c r="B28" s="82">
        <v>6.5</v>
      </c>
      <c r="C28" s="82">
        <v>6.3</v>
      </c>
      <c r="D28" s="82">
        <v>6.4</v>
      </c>
      <c r="E28" s="82">
        <v>9.4</v>
      </c>
      <c r="F28" s="82">
        <v>6.1</v>
      </c>
      <c r="G28" s="82">
        <v>7.1</v>
      </c>
      <c r="H28" s="82">
        <v>6.9</v>
      </c>
      <c r="I28" s="82">
        <v>8.8</v>
      </c>
      <c r="J28" s="82">
        <v>11.2</v>
      </c>
      <c r="K28" s="82">
        <v>11.6</v>
      </c>
      <c r="L28" s="82">
        <v>11.3</v>
      </c>
      <c r="M28" s="82">
        <v>7.1</v>
      </c>
      <c r="N28" s="82">
        <v>8.2</v>
      </c>
    </row>
    <row r="29" spans="1:14" ht="14.25">
      <c r="A29" s="28" t="s">
        <v>126</v>
      </c>
      <c r="B29" s="30"/>
      <c r="C29" s="30"/>
      <c r="D29" s="31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4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30"/>
  <sheetViews>
    <sheetView zoomScale="90" zoomScaleNormal="90" zoomScalePageLayoutView="0" workbookViewId="0" topLeftCell="A19">
      <selection activeCell="O28" sqref="O28"/>
    </sheetView>
  </sheetViews>
  <sheetFormatPr defaultColWidth="9.140625" defaultRowHeight="12.75"/>
  <cols>
    <col min="1" max="1" width="6.7109375" style="28" customWidth="1"/>
    <col min="2" max="16384" width="9.140625" style="28" customWidth="1"/>
  </cols>
  <sheetData>
    <row r="1" ht="15.75">
      <c r="A1" s="36" t="s">
        <v>137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7"/>
      <c r="B4" s="101" t="s">
        <v>21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4.25">
      <c r="A5" s="33">
        <v>2000</v>
      </c>
      <c r="B5" s="31">
        <v>22.502593092870814</v>
      </c>
      <c r="C5" s="31">
        <v>23.689193132218836</v>
      </c>
      <c r="D5" s="31">
        <v>23.829285874473907</v>
      </c>
      <c r="E5" s="31">
        <v>26.75715756237586</v>
      </c>
      <c r="F5" s="31">
        <v>27.188808432266125</v>
      </c>
      <c r="G5" s="31">
        <v>30.539300782420575</v>
      </c>
      <c r="H5" s="31">
        <v>31.86359654628043</v>
      </c>
      <c r="I5" s="31">
        <v>30.83596335295511</v>
      </c>
      <c r="J5" s="31">
        <v>33.54119682571055</v>
      </c>
      <c r="K5" s="31">
        <v>38.764005812936766</v>
      </c>
      <c r="L5" s="31">
        <v>39.746882288706814</v>
      </c>
      <c r="M5" s="31">
        <v>43.47476904990406</v>
      </c>
      <c r="N5" s="31">
        <v>31.061062729426656</v>
      </c>
    </row>
    <row r="6" spans="1:14" ht="14.25">
      <c r="A6" s="32">
        <v>2001</v>
      </c>
      <c r="B6" s="31">
        <v>41.75391840132544</v>
      </c>
      <c r="C6" s="31">
        <v>46.72438851461634</v>
      </c>
      <c r="D6" s="31">
        <v>46.75203348531245</v>
      </c>
      <c r="E6" s="31">
        <v>49.042417471289795</v>
      </c>
      <c r="F6" s="31">
        <v>52.865726955771386</v>
      </c>
      <c r="G6" s="31">
        <v>50.65492455616112</v>
      </c>
      <c r="H6" s="31">
        <v>48.01023952610657</v>
      </c>
      <c r="I6" s="31">
        <v>43.56629170702127</v>
      </c>
      <c r="J6" s="31">
        <v>38.2477077986071</v>
      </c>
      <c r="K6" s="31">
        <v>39.7075532141155</v>
      </c>
      <c r="L6" s="31">
        <v>43.40134542309063</v>
      </c>
      <c r="M6" s="31">
        <v>44.964637090291724</v>
      </c>
      <c r="N6" s="31">
        <v>45.47426534530911</v>
      </c>
    </row>
    <row r="7" spans="1:14" ht="14.25">
      <c r="A7" s="33">
        <v>2002</v>
      </c>
      <c r="B7" s="31">
        <v>40.98630726266998</v>
      </c>
      <c r="C7" s="31">
        <v>43.26154329654492</v>
      </c>
      <c r="D7" s="31">
        <v>49.186277552069136</v>
      </c>
      <c r="E7" s="31">
        <v>50.214113014216764</v>
      </c>
      <c r="F7" s="31">
        <v>48.87159665555508</v>
      </c>
      <c r="G7" s="31">
        <v>51.8751527451075</v>
      </c>
      <c r="H7" s="31">
        <v>54.52375126712362</v>
      </c>
      <c r="I7" s="31">
        <v>38.939758850963905</v>
      </c>
      <c r="J7" s="31">
        <v>41.952229746998384</v>
      </c>
      <c r="K7" s="31">
        <v>40.88933619066737</v>
      </c>
      <c r="L7" s="31">
        <v>42.484481026128215</v>
      </c>
      <c r="M7" s="31">
        <v>43.55715835732131</v>
      </c>
      <c r="N7" s="31">
        <v>45.561808830447184</v>
      </c>
    </row>
    <row r="8" spans="1:14" ht="14.25">
      <c r="A8" s="32">
        <v>2003</v>
      </c>
      <c r="B8" s="31">
        <v>44.51570811083627</v>
      </c>
      <c r="C8" s="31">
        <v>42.43743343512262</v>
      </c>
      <c r="D8" s="31">
        <v>44.249423097924144</v>
      </c>
      <c r="E8" s="31">
        <v>43.30807480760571</v>
      </c>
      <c r="F8" s="31">
        <v>42.956104962032335</v>
      </c>
      <c r="G8" s="31">
        <v>44.722946950546344</v>
      </c>
      <c r="H8" s="31">
        <v>18.053837177951962</v>
      </c>
      <c r="I8" s="31">
        <v>13.698904293931246</v>
      </c>
      <c r="J8" s="31">
        <v>15.519225920695797</v>
      </c>
      <c r="K8" s="31">
        <v>19.80372193783349</v>
      </c>
      <c r="L8" s="31">
        <v>42.154357673806444</v>
      </c>
      <c r="M8" s="31">
        <v>43.37786481690612</v>
      </c>
      <c r="N8" s="31">
        <v>34.566466932099374</v>
      </c>
    </row>
    <row r="9" spans="1:14" ht="14.25">
      <c r="A9" s="33">
        <v>2004</v>
      </c>
      <c r="B9" s="31">
        <v>42.8560793129519</v>
      </c>
      <c r="C9" s="31">
        <v>45.639240127551126</v>
      </c>
      <c r="D9" s="31">
        <v>34.54392574648636</v>
      </c>
      <c r="E9" s="31">
        <v>5.128621391834139</v>
      </c>
      <c r="F9" s="31">
        <v>5.453720088290838</v>
      </c>
      <c r="G9" s="31">
        <v>46.88562880215374</v>
      </c>
      <c r="H9" s="31">
        <v>43.8775651713798</v>
      </c>
      <c r="I9" s="31">
        <v>44.612961778848664</v>
      </c>
      <c r="J9" s="31">
        <v>36.278856131027894</v>
      </c>
      <c r="K9" s="31">
        <v>44.10844381509146</v>
      </c>
      <c r="L9" s="31">
        <v>43.28080134337739</v>
      </c>
      <c r="M9" s="31">
        <v>13.398083239110417</v>
      </c>
      <c r="N9" s="31">
        <v>33.838660579008646</v>
      </c>
    </row>
    <row r="10" spans="1:14" ht="14.25">
      <c r="A10" s="32">
        <v>2005</v>
      </c>
      <c r="B10" s="31">
        <v>44.59142760853471</v>
      </c>
      <c r="C10" s="31">
        <v>31.27405401841737</v>
      </c>
      <c r="D10" s="31">
        <v>46.675485611330295</v>
      </c>
      <c r="E10" s="31">
        <v>37.59582303048043</v>
      </c>
      <c r="F10" s="31">
        <v>46.80714716850471</v>
      </c>
      <c r="G10" s="31">
        <v>46.36929212617596</v>
      </c>
      <c r="H10" s="31">
        <v>46.4488825896676</v>
      </c>
      <c r="I10" s="31">
        <v>36.91909759731241</v>
      </c>
      <c r="J10" s="31">
        <v>37.681820333725305</v>
      </c>
      <c r="K10" s="31">
        <v>37.64063844223024</v>
      </c>
      <c r="L10" s="31">
        <v>38.03026857764474</v>
      </c>
      <c r="M10" s="31">
        <v>39.8745826252629</v>
      </c>
      <c r="N10" s="31">
        <v>40.82570997744056</v>
      </c>
    </row>
    <row r="11" spans="1:14" ht="14.25">
      <c r="A11" s="33">
        <v>2006</v>
      </c>
      <c r="B11" s="31">
        <v>39.83795960441873</v>
      </c>
      <c r="C11" s="31">
        <v>40.232897044914374</v>
      </c>
      <c r="D11" s="31">
        <v>40.35846457004464</v>
      </c>
      <c r="E11" s="31">
        <v>40.74405863646325</v>
      </c>
      <c r="F11" s="31">
        <v>40.93593957500961</v>
      </c>
      <c r="G11" s="31">
        <v>41.62592182699622</v>
      </c>
      <c r="H11" s="31">
        <v>40.36067250841088</v>
      </c>
      <c r="I11" s="31">
        <v>33.933373729701636</v>
      </c>
      <c r="J11" s="31">
        <v>27.84339743417363</v>
      </c>
      <c r="K11" s="31">
        <v>34.01088166342659</v>
      </c>
      <c r="L11" s="31">
        <v>32.631185578594</v>
      </c>
      <c r="M11" s="31">
        <v>33.43558346366658</v>
      </c>
      <c r="N11" s="31">
        <v>37.162527969651684</v>
      </c>
    </row>
    <row r="12" spans="1:14" ht="14.25">
      <c r="A12" s="33">
        <v>2007</v>
      </c>
      <c r="B12" s="31">
        <v>34.4530249495117</v>
      </c>
      <c r="C12" s="31">
        <v>32.43894600968821</v>
      </c>
      <c r="D12" s="31">
        <v>32.19392027879436</v>
      </c>
      <c r="E12" s="31">
        <v>33.10775687782147</v>
      </c>
      <c r="F12" s="31">
        <v>36.09346997347356</v>
      </c>
      <c r="G12" s="31">
        <v>32.69378748834722</v>
      </c>
      <c r="H12" s="31">
        <v>38.04322183761808</v>
      </c>
      <c r="I12" s="31">
        <v>33.988400314664936</v>
      </c>
      <c r="J12" s="31">
        <v>35.968417050988194</v>
      </c>
      <c r="K12" s="31">
        <v>36.87157555396062</v>
      </c>
      <c r="L12" s="31">
        <v>38.991585151774885</v>
      </c>
      <c r="M12" s="31">
        <v>35.770475972471665</v>
      </c>
      <c r="N12" s="31">
        <v>35.05121512159291</v>
      </c>
    </row>
    <row r="13" spans="1:14" ht="14.25">
      <c r="A13" s="33">
        <v>2008</v>
      </c>
      <c r="B13" s="31">
        <v>36.6154478655631</v>
      </c>
      <c r="C13" s="31">
        <v>37.04482477246654</v>
      </c>
      <c r="D13" s="31">
        <v>27.26735294039869</v>
      </c>
      <c r="E13" s="31">
        <v>34.98684535475125</v>
      </c>
      <c r="F13" s="31">
        <v>21.412082411996913</v>
      </c>
      <c r="G13" s="31">
        <v>25.81057954477109</v>
      </c>
      <c r="H13" s="31">
        <v>34.88797302307248</v>
      </c>
      <c r="I13" s="31">
        <v>31.154973089375726</v>
      </c>
      <c r="J13" s="31">
        <v>30.923358807706986</v>
      </c>
      <c r="K13" s="31">
        <v>23.50352168782939</v>
      </c>
      <c r="L13" s="31">
        <v>31.742969133152148</v>
      </c>
      <c r="M13" s="31">
        <v>25.804316315570986</v>
      </c>
      <c r="N13" s="31">
        <v>30.09618707888794</v>
      </c>
    </row>
    <row r="14" spans="1:14" ht="14.25">
      <c r="A14" s="32">
        <v>2009</v>
      </c>
      <c r="B14" s="31">
        <v>31.78732264046833</v>
      </c>
      <c r="C14" s="31">
        <v>32.865227047097804</v>
      </c>
      <c r="D14" s="31">
        <v>32.06318430974886</v>
      </c>
      <c r="E14" s="31">
        <v>33.125434825403474</v>
      </c>
      <c r="F14" s="31">
        <v>35.17523353116697</v>
      </c>
      <c r="G14" s="31">
        <v>35.768109905922216</v>
      </c>
      <c r="H14" s="31">
        <v>35.50088467801867</v>
      </c>
      <c r="I14" s="31">
        <v>30.602981483901065</v>
      </c>
      <c r="J14" s="31">
        <v>29.898387823949474</v>
      </c>
      <c r="K14" s="31">
        <v>29.29174293016174</v>
      </c>
      <c r="L14" s="31">
        <v>30.869550374711856</v>
      </c>
      <c r="M14" s="31">
        <v>31.73085168777242</v>
      </c>
      <c r="N14" s="31">
        <v>32.38990926986024</v>
      </c>
    </row>
    <row r="15" spans="1:14" ht="14.25">
      <c r="A15" s="33">
        <v>2010</v>
      </c>
      <c r="B15" s="31">
        <v>33.15088817191841</v>
      </c>
      <c r="C15" s="31">
        <v>34.18048190171343</v>
      </c>
      <c r="D15" s="31">
        <v>34.24943923676297</v>
      </c>
      <c r="E15" s="31">
        <v>35.33568251708413</v>
      </c>
      <c r="F15" s="31">
        <v>39.24506121724855</v>
      </c>
      <c r="G15" s="31">
        <v>38.40325509604241</v>
      </c>
      <c r="H15" s="31">
        <v>40.811784876217175</v>
      </c>
      <c r="I15" s="31">
        <v>37.65672142420473</v>
      </c>
      <c r="J15" s="31">
        <v>37.71747987161264</v>
      </c>
      <c r="K15" s="31">
        <v>36.893859905711466</v>
      </c>
      <c r="L15" s="31">
        <v>37.2114672799662</v>
      </c>
      <c r="M15" s="31">
        <v>36.2484862970189</v>
      </c>
      <c r="N15" s="31">
        <v>36.75871731629175</v>
      </c>
    </row>
    <row r="16" spans="1:14" ht="14.25">
      <c r="A16" s="32">
        <v>2011</v>
      </c>
      <c r="B16" s="31">
        <v>36.94670314689508</v>
      </c>
      <c r="C16" s="31">
        <v>39.896173783135204</v>
      </c>
      <c r="D16" s="31">
        <v>32.97890234769426</v>
      </c>
      <c r="E16" s="31">
        <v>38.434842288092774</v>
      </c>
      <c r="F16" s="31">
        <v>41.592273110108344</v>
      </c>
      <c r="G16" s="31">
        <v>43.31246921477502</v>
      </c>
      <c r="H16" s="31">
        <v>37.786048807800626</v>
      </c>
      <c r="I16" s="31">
        <v>34.73479991844045</v>
      </c>
      <c r="J16" s="31">
        <v>34.22359203961567</v>
      </c>
      <c r="K16" s="31">
        <v>37.41639251052327</v>
      </c>
      <c r="L16" s="31">
        <v>35.09521723582921</v>
      </c>
      <c r="M16" s="31">
        <v>30.027388721251686</v>
      </c>
      <c r="N16" s="31">
        <v>36.8704002603468</v>
      </c>
    </row>
    <row r="17" spans="1:14" ht="15" customHeight="1">
      <c r="A17" s="33">
        <v>2012</v>
      </c>
      <c r="B17" s="31">
        <v>35.46123703107195</v>
      </c>
      <c r="C17" s="31">
        <v>37.36140256277779</v>
      </c>
      <c r="D17" s="31">
        <v>38.537909235707964</v>
      </c>
      <c r="E17" s="31">
        <v>36.94355624021932</v>
      </c>
      <c r="F17" s="31">
        <v>35.205540637585756</v>
      </c>
      <c r="G17" s="31">
        <v>30.728654857930604</v>
      </c>
      <c r="H17" s="31">
        <v>23.99591681001453</v>
      </c>
      <c r="I17" s="31">
        <v>23.77880368156007</v>
      </c>
      <c r="J17" s="31">
        <v>23.15765019547629</v>
      </c>
      <c r="K17" s="31">
        <v>17.022820306173557</v>
      </c>
      <c r="L17" s="31">
        <v>24.635010592802324</v>
      </c>
      <c r="M17" s="31">
        <v>29.26778473793526</v>
      </c>
      <c r="N17" s="31">
        <v>29.674690574104613</v>
      </c>
    </row>
    <row r="18" spans="1:14" ht="15" customHeight="1">
      <c r="A18" s="32">
        <v>2013</v>
      </c>
      <c r="B18" s="31">
        <v>28.31727759378473</v>
      </c>
      <c r="C18" s="31">
        <v>30.968882252273623</v>
      </c>
      <c r="D18" s="31">
        <v>33.04317281784518</v>
      </c>
      <c r="E18" s="31">
        <v>33.73775738467573</v>
      </c>
      <c r="F18" s="31">
        <v>30.585336242693057</v>
      </c>
      <c r="G18" s="31">
        <v>35.195899084142454</v>
      </c>
      <c r="H18" s="31">
        <v>37.48136363311023</v>
      </c>
      <c r="I18" s="31">
        <v>33.33099348721613</v>
      </c>
      <c r="J18" s="31">
        <v>34.90886605078668</v>
      </c>
      <c r="K18" s="31">
        <v>36.637312924122476</v>
      </c>
      <c r="L18" s="31">
        <v>36.826036674008385</v>
      </c>
      <c r="M18" s="31">
        <v>39.031370143704756</v>
      </c>
      <c r="N18" s="31">
        <v>34.172022357363616</v>
      </c>
    </row>
    <row r="19" spans="1:14" ht="15" customHeight="1">
      <c r="A19" s="33">
        <v>2014</v>
      </c>
      <c r="B19" s="31">
        <v>34.966674595390614</v>
      </c>
      <c r="C19" s="31">
        <v>31.32995535644378</v>
      </c>
      <c r="D19" s="31">
        <v>34.03565999854474</v>
      </c>
      <c r="E19" s="31">
        <v>30.881087687272483</v>
      </c>
      <c r="F19" s="31">
        <v>35.47955539921651</v>
      </c>
      <c r="G19" s="31">
        <v>38.82573608942841</v>
      </c>
      <c r="H19" s="31">
        <v>40.37406287118935</v>
      </c>
      <c r="I19" s="31">
        <v>38.90987678631641</v>
      </c>
      <c r="J19" s="31">
        <v>36.42811545266538</v>
      </c>
      <c r="K19" s="31">
        <v>22.172113800646155</v>
      </c>
      <c r="L19" s="31">
        <v>26.285845986243928</v>
      </c>
      <c r="M19" s="31">
        <v>35.44037213841293</v>
      </c>
      <c r="N19" s="31">
        <v>33.76075468014756</v>
      </c>
    </row>
    <row r="20" spans="1:14" ht="15" customHeight="1">
      <c r="A20" s="32">
        <v>2015</v>
      </c>
      <c r="B20" s="31">
        <v>32.71146948156105</v>
      </c>
      <c r="C20" s="31">
        <v>32.59708598254603</v>
      </c>
      <c r="D20" s="31">
        <v>26.225286825611633</v>
      </c>
      <c r="E20" s="31">
        <v>25.474257956783735</v>
      </c>
      <c r="F20" s="31">
        <v>21.2722630065285</v>
      </c>
      <c r="G20" s="31">
        <v>23.089276737007545</v>
      </c>
      <c r="H20" s="31">
        <v>20.78003777260304</v>
      </c>
      <c r="I20" s="31">
        <v>19.33832269013347</v>
      </c>
      <c r="J20" s="31">
        <v>29.110821152476916</v>
      </c>
      <c r="K20" s="31">
        <v>31.71122003633834</v>
      </c>
      <c r="L20" s="31">
        <v>34.37538995182322</v>
      </c>
      <c r="M20" s="31">
        <v>36.93468216807134</v>
      </c>
      <c r="N20" s="31">
        <v>27.8016761467904</v>
      </c>
    </row>
    <row r="21" spans="1:14" ht="15" customHeight="1">
      <c r="A21" s="33">
        <v>2016</v>
      </c>
      <c r="B21" s="31">
        <v>30.37354070669925</v>
      </c>
      <c r="C21" s="31">
        <v>31.03881488852645</v>
      </c>
      <c r="D21" s="31">
        <v>32.13390944613282</v>
      </c>
      <c r="E21" s="31">
        <v>32.576661692378714</v>
      </c>
      <c r="F21" s="31">
        <v>34.85495586906055</v>
      </c>
      <c r="G21" s="31">
        <v>38.2753274718799</v>
      </c>
      <c r="H21" s="31">
        <v>33.99254982501546</v>
      </c>
      <c r="I21" s="31">
        <v>23.13432730665715</v>
      </c>
      <c r="J21" s="31">
        <v>22.703736423929076</v>
      </c>
      <c r="K21" s="31">
        <v>29.905103343173106</v>
      </c>
      <c r="L21" s="31">
        <v>20.83486307877771</v>
      </c>
      <c r="M21" s="31">
        <v>23.82927591492181</v>
      </c>
      <c r="N21" s="31">
        <v>29.471088830595992</v>
      </c>
    </row>
    <row r="22" spans="1:14" ht="15" customHeight="1">
      <c r="A22" s="32">
        <v>2017</v>
      </c>
      <c r="B22" s="31">
        <v>29.98033902902002</v>
      </c>
      <c r="C22" s="31">
        <v>29.566828822866846</v>
      </c>
      <c r="D22" s="31">
        <v>33.44320923895067</v>
      </c>
      <c r="E22" s="31">
        <v>34.99820655773004</v>
      </c>
      <c r="F22" s="31">
        <v>28.075185031665</v>
      </c>
      <c r="G22" s="31">
        <v>33.9497771056507</v>
      </c>
      <c r="H22" s="31">
        <v>38.6</v>
      </c>
      <c r="I22" s="31">
        <v>34.37981250345858</v>
      </c>
      <c r="J22" s="31">
        <v>33.60576735545917</v>
      </c>
      <c r="K22" s="31">
        <v>25.03223192563605</v>
      </c>
      <c r="L22" s="31">
        <v>25.465192753963876</v>
      </c>
      <c r="M22" s="31">
        <v>32.55571247429404</v>
      </c>
      <c r="N22" s="31">
        <v>32.3</v>
      </c>
    </row>
    <row r="23" spans="1:14" ht="15" customHeight="1">
      <c r="A23" s="32">
        <v>2018</v>
      </c>
      <c r="B23" s="31">
        <v>32.802167599944504</v>
      </c>
      <c r="C23" s="31">
        <v>31.939077965282614</v>
      </c>
      <c r="D23" s="31">
        <v>27.52176786337484</v>
      </c>
      <c r="E23" s="31">
        <v>32.196499907778986</v>
      </c>
      <c r="F23" s="31">
        <v>28.225693541826395</v>
      </c>
      <c r="G23" s="31">
        <v>35.22838728617482</v>
      </c>
      <c r="H23" s="31">
        <v>39</v>
      </c>
      <c r="I23" s="31">
        <v>32</v>
      </c>
      <c r="J23" s="31">
        <v>26</v>
      </c>
      <c r="K23" s="31">
        <v>30.5</v>
      </c>
      <c r="L23" s="31">
        <v>33.4</v>
      </c>
      <c r="M23" s="31">
        <v>36.3</v>
      </c>
      <c r="N23" s="31">
        <v>32.2</v>
      </c>
    </row>
    <row r="24" spans="1:14" ht="15" customHeight="1">
      <c r="A24" s="32">
        <v>2019</v>
      </c>
      <c r="B24" s="31">
        <v>34.885438566827446</v>
      </c>
      <c r="C24" s="31">
        <v>36.496576956824356</v>
      </c>
      <c r="D24" s="31">
        <v>38</v>
      </c>
      <c r="E24" s="31">
        <v>35.4</v>
      </c>
      <c r="F24" s="31">
        <v>34.6</v>
      </c>
      <c r="G24" s="31">
        <v>38.2</v>
      </c>
      <c r="H24" s="31">
        <v>36.2</v>
      </c>
      <c r="I24" s="31">
        <v>32.4</v>
      </c>
      <c r="J24" s="31">
        <v>24.6</v>
      </c>
      <c r="K24" s="31">
        <v>20.1</v>
      </c>
      <c r="L24" s="31">
        <v>18.8</v>
      </c>
      <c r="M24" s="31">
        <v>23.3</v>
      </c>
      <c r="N24" s="31">
        <v>31.5</v>
      </c>
    </row>
    <row r="25" spans="1:14" ht="13.5" customHeight="1">
      <c r="A25" s="83">
        <v>2020</v>
      </c>
      <c r="B25" s="82">
        <v>31.1</v>
      </c>
      <c r="C25" s="82">
        <v>32.4</v>
      </c>
      <c r="D25" s="82">
        <v>32.2</v>
      </c>
      <c r="E25" s="82">
        <v>30.4</v>
      </c>
      <c r="F25" s="82">
        <v>33.1</v>
      </c>
      <c r="G25" s="82">
        <v>9.8</v>
      </c>
      <c r="H25" s="82">
        <v>5.9</v>
      </c>
      <c r="I25" s="82">
        <v>10.4</v>
      </c>
      <c r="J25" s="82">
        <v>19.9</v>
      </c>
      <c r="K25" s="82">
        <v>6.7</v>
      </c>
      <c r="L25" s="82">
        <v>7.5</v>
      </c>
      <c r="M25" s="82">
        <v>18.3</v>
      </c>
      <c r="N25" s="82">
        <v>21.4</v>
      </c>
    </row>
    <row r="26" spans="1:14" ht="14.25">
      <c r="A26" s="83">
        <v>2021</v>
      </c>
      <c r="B26" s="82">
        <v>12.6</v>
      </c>
      <c r="C26" s="82">
        <v>15.2</v>
      </c>
      <c r="D26" s="82">
        <v>17.2</v>
      </c>
      <c r="E26" s="82">
        <v>11</v>
      </c>
      <c r="F26" s="82">
        <v>18</v>
      </c>
      <c r="G26" s="82">
        <v>29</v>
      </c>
      <c r="H26" s="82">
        <v>38.6</v>
      </c>
      <c r="I26" s="82">
        <v>39.9</v>
      </c>
      <c r="J26" s="82">
        <v>39.5</v>
      </c>
      <c r="K26" s="82">
        <v>36.3</v>
      </c>
      <c r="L26" s="82">
        <v>40.6</v>
      </c>
      <c r="M26" s="82">
        <v>44</v>
      </c>
      <c r="N26" s="82">
        <v>29.7</v>
      </c>
    </row>
    <row r="27" spans="1:14" ht="14.25">
      <c r="A27" s="83">
        <v>2022</v>
      </c>
      <c r="B27" s="82">
        <v>45.2</v>
      </c>
      <c r="C27" s="82">
        <v>47</v>
      </c>
      <c r="D27" s="82">
        <v>48.1</v>
      </c>
      <c r="E27" s="82">
        <v>46.5</v>
      </c>
      <c r="F27" s="82">
        <v>42.6</v>
      </c>
      <c r="G27" s="82">
        <v>52.2</v>
      </c>
      <c r="H27" s="82">
        <v>54</v>
      </c>
      <c r="I27" s="82">
        <v>51.3</v>
      </c>
      <c r="J27" s="82">
        <v>50.2</v>
      </c>
      <c r="K27" s="82">
        <v>50.9</v>
      </c>
      <c r="L27" s="82">
        <v>51</v>
      </c>
      <c r="M27" s="82">
        <v>49.7</v>
      </c>
      <c r="N27" s="82">
        <v>48.8</v>
      </c>
    </row>
    <row r="28" spans="1:14" ht="14.25">
      <c r="A28" s="83">
        <v>2023</v>
      </c>
      <c r="B28" s="82">
        <v>47.6</v>
      </c>
      <c r="C28" s="82">
        <v>45.6</v>
      </c>
      <c r="D28" s="82">
        <v>45</v>
      </c>
      <c r="E28" s="82">
        <v>44.4</v>
      </c>
      <c r="F28" s="82">
        <v>49.2</v>
      </c>
      <c r="G28" s="82">
        <v>52.3</v>
      </c>
      <c r="H28" s="82">
        <v>53.8</v>
      </c>
      <c r="I28" s="82">
        <v>49.8</v>
      </c>
      <c r="J28" s="82">
        <v>45.8</v>
      </c>
      <c r="K28" s="82">
        <v>45.4</v>
      </c>
      <c r="L28" s="82">
        <v>44.9</v>
      </c>
      <c r="M28" s="82">
        <v>50.5</v>
      </c>
      <c r="N28" s="82">
        <v>47.7</v>
      </c>
    </row>
    <row r="29" spans="2:14" ht="14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4.25">
      <c r="A30" s="28" t="s">
        <v>126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N30"/>
  <sheetViews>
    <sheetView zoomScale="90" zoomScaleNormal="90" zoomScalePageLayoutView="0" workbookViewId="0" topLeftCell="A20">
      <selection activeCell="N29" sqref="N29"/>
    </sheetView>
  </sheetViews>
  <sheetFormatPr defaultColWidth="9.140625" defaultRowHeight="12.75"/>
  <cols>
    <col min="1" max="1" width="6.7109375" style="28" customWidth="1"/>
    <col min="2" max="16384" width="9.140625" style="28" customWidth="1"/>
  </cols>
  <sheetData>
    <row r="1" ht="15.75">
      <c r="A1" s="36" t="s">
        <v>138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7"/>
      <c r="B4" s="101" t="s">
        <v>21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4.25">
      <c r="A5" s="33">
        <v>2000</v>
      </c>
      <c r="B5" s="31">
        <v>10.158260104536254</v>
      </c>
      <c r="C5" s="31">
        <v>6.599494670728394</v>
      </c>
      <c r="D5" s="31">
        <v>6.6797049096973575</v>
      </c>
      <c r="E5" s="31">
        <v>9.850623777341765</v>
      </c>
      <c r="F5" s="31">
        <v>8.026092317906375</v>
      </c>
      <c r="G5" s="31">
        <v>6.814926768899257</v>
      </c>
      <c r="H5" s="31">
        <v>8.241684379760304</v>
      </c>
      <c r="I5" s="31">
        <v>3.8857628487607627</v>
      </c>
      <c r="J5" s="31">
        <v>4.083684236583998</v>
      </c>
      <c r="K5" s="31">
        <v>5.492123218251862</v>
      </c>
      <c r="L5" s="31">
        <v>3.2623534245450037</v>
      </c>
      <c r="M5" s="31">
        <v>3.4588021861780933</v>
      </c>
      <c r="N5" s="31">
        <v>6.3</v>
      </c>
    </row>
    <row r="6" spans="1:14" ht="14.25">
      <c r="A6" s="32">
        <v>2001</v>
      </c>
      <c r="B6" s="31">
        <v>3.8978801269553562</v>
      </c>
      <c r="C6" s="31">
        <v>3.1075771555338405</v>
      </c>
      <c r="D6" s="31">
        <v>2.07163657514629</v>
      </c>
      <c r="E6" s="31">
        <v>3.4498800608293996</v>
      </c>
      <c r="F6" s="31">
        <v>2.4285987614552633</v>
      </c>
      <c r="G6" s="31">
        <v>6.155315025152193</v>
      </c>
      <c r="H6" s="31">
        <v>6.421632556777768</v>
      </c>
      <c r="I6" s="31">
        <v>3.4116048167618844</v>
      </c>
      <c r="J6" s="31">
        <v>5.640020396633879</v>
      </c>
      <c r="K6" s="31">
        <v>3.852175578889049</v>
      </c>
      <c r="L6" s="31">
        <v>3.3899906621168254</v>
      </c>
      <c r="M6" s="31">
        <v>6.837963259323021</v>
      </c>
      <c r="N6" s="31">
        <v>4.3</v>
      </c>
    </row>
    <row r="7" spans="1:14" ht="14.25">
      <c r="A7" s="33">
        <v>2002</v>
      </c>
      <c r="B7" s="31">
        <v>4.221653999489671</v>
      </c>
      <c r="C7" s="31">
        <v>7.596520753958686</v>
      </c>
      <c r="D7" s="31">
        <v>5.21928064367673</v>
      </c>
      <c r="E7" s="31">
        <v>4.245388113629374</v>
      </c>
      <c r="F7" s="31">
        <v>5.405102768811776</v>
      </c>
      <c r="G7" s="31">
        <v>5.641790402542695</v>
      </c>
      <c r="H7" s="31">
        <v>1.7655891266646504</v>
      </c>
      <c r="I7" s="31">
        <v>2.7064513576754456</v>
      </c>
      <c r="J7" s="31">
        <v>3.9010865631416305</v>
      </c>
      <c r="K7" s="31">
        <v>3.672183032626923</v>
      </c>
      <c r="L7" s="31">
        <v>3.8957669543113456</v>
      </c>
      <c r="M7" s="31">
        <v>6.387840465888367</v>
      </c>
      <c r="N7" s="31">
        <v>4.554887848534775</v>
      </c>
    </row>
    <row r="8" spans="1:14" ht="14.25">
      <c r="A8" s="32">
        <v>2003</v>
      </c>
      <c r="B8" s="31">
        <v>4.172217147378077</v>
      </c>
      <c r="C8" s="31">
        <v>5.135629925521341</v>
      </c>
      <c r="D8" s="31">
        <v>5.972221756015846</v>
      </c>
      <c r="E8" s="31">
        <v>5.417395315663764</v>
      </c>
      <c r="F8" s="31">
        <v>5.140157144543431</v>
      </c>
      <c r="G8" s="31">
        <v>5.522737018337706</v>
      </c>
      <c r="H8" s="31">
        <v>5.968994514535067</v>
      </c>
      <c r="I8" s="31">
        <v>8.09985555836619</v>
      </c>
      <c r="J8" s="31">
        <v>5.021963006266991</v>
      </c>
      <c r="K8" s="31">
        <v>5.37785700446755</v>
      </c>
      <c r="L8" s="31">
        <v>5.800034858603166</v>
      </c>
      <c r="M8" s="31">
        <v>5.813909334224516</v>
      </c>
      <c r="N8" s="31">
        <v>5.620247715326971</v>
      </c>
    </row>
    <row r="9" spans="1:14" ht="14.25">
      <c r="A9" s="33">
        <v>2004</v>
      </c>
      <c r="B9" s="31">
        <v>3.794316260549832</v>
      </c>
      <c r="C9" s="31">
        <v>3.3226585425910122</v>
      </c>
      <c r="D9" s="31">
        <v>3.0444474808923494</v>
      </c>
      <c r="E9" s="31">
        <v>6.6171585835699</v>
      </c>
      <c r="F9" s="31">
        <v>13.522746593417454</v>
      </c>
      <c r="G9" s="31">
        <v>7.081027564183085</v>
      </c>
      <c r="H9" s="31">
        <v>5.356915630867443</v>
      </c>
      <c r="I9" s="31">
        <v>4.854125323035253</v>
      </c>
      <c r="J9" s="31">
        <v>4.534568487597725</v>
      </c>
      <c r="K9" s="31">
        <v>5.074215763035596</v>
      </c>
      <c r="L9" s="31">
        <v>3.690682015834299</v>
      </c>
      <c r="M9" s="31">
        <v>6.866440681743047</v>
      </c>
      <c r="N9" s="31">
        <v>5.3</v>
      </c>
    </row>
    <row r="10" spans="1:14" ht="14.25">
      <c r="A10" s="32">
        <v>2005</v>
      </c>
      <c r="B10" s="31">
        <v>5.38338970775918</v>
      </c>
      <c r="C10" s="31">
        <v>6.95571809395296</v>
      </c>
      <c r="D10" s="31">
        <v>5.268388571848728</v>
      </c>
      <c r="E10" s="31">
        <v>8.141773873567164</v>
      </c>
      <c r="F10" s="31">
        <v>7.35487180284707</v>
      </c>
      <c r="G10" s="31">
        <v>7.056746697832822</v>
      </c>
      <c r="H10" s="31">
        <v>6.9994476178751</v>
      </c>
      <c r="I10" s="31">
        <v>5.116666348447297</v>
      </c>
      <c r="J10" s="31">
        <v>4.7088922521720855</v>
      </c>
      <c r="K10" s="31">
        <v>5.993479160353901</v>
      </c>
      <c r="L10" s="31">
        <v>6.6519991615431815</v>
      </c>
      <c r="M10" s="31">
        <v>7.463699771184659</v>
      </c>
      <c r="N10" s="31">
        <v>6.424589421615345</v>
      </c>
    </row>
    <row r="11" spans="1:14" ht="14.25">
      <c r="A11" s="32">
        <v>2006</v>
      </c>
      <c r="B11" s="31">
        <v>7.178498164695846</v>
      </c>
      <c r="C11" s="31">
        <v>6.906779879409447</v>
      </c>
      <c r="D11" s="31">
        <v>6.114024224340708</v>
      </c>
      <c r="E11" s="31">
        <v>9.686182716956388</v>
      </c>
      <c r="F11" s="31">
        <v>8.04132212923629</v>
      </c>
      <c r="G11" s="31">
        <v>7.5234403026853816</v>
      </c>
      <c r="H11" s="31">
        <v>8.84819646585615</v>
      </c>
      <c r="I11" s="31">
        <v>4.777592096006813</v>
      </c>
      <c r="J11" s="31">
        <v>6.420173599928619</v>
      </c>
      <c r="K11" s="31">
        <v>5.7539945999726765</v>
      </c>
      <c r="L11" s="31">
        <v>4.513750281948689</v>
      </c>
      <c r="M11" s="31">
        <v>9.384023009902597</v>
      </c>
      <c r="N11" s="31">
        <v>7.2</v>
      </c>
    </row>
    <row r="12" spans="1:14" ht="14.25">
      <c r="A12" s="32">
        <v>2007</v>
      </c>
      <c r="B12" s="31">
        <v>6.315660205802547</v>
      </c>
      <c r="C12" s="31">
        <v>6.834862201445442</v>
      </c>
      <c r="D12" s="31">
        <v>6.02895877428506</v>
      </c>
      <c r="E12" s="31">
        <v>8.518329477351068</v>
      </c>
      <c r="F12" s="31">
        <v>5.548045304242322</v>
      </c>
      <c r="G12" s="31">
        <v>6.915531947304092</v>
      </c>
      <c r="H12" s="31">
        <v>8.810954014230397</v>
      </c>
      <c r="I12" s="31">
        <v>5.563049391275653</v>
      </c>
      <c r="J12" s="31">
        <v>7.3391360294365775</v>
      </c>
      <c r="K12" s="31">
        <v>4.759583024760388</v>
      </c>
      <c r="L12" s="31">
        <v>4.803630957322815</v>
      </c>
      <c r="M12" s="31">
        <v>9.411089943062697</v>
      </c>
      <c r="N12" s="31">
        <v>7</v>
      </c>
    </row>
    <row r="13" spans="1:14" ht="14.25">
      <c r="A13" s="33">
        <v>2008</v>
      </c>
      <c r="B13" s="31">
        <v>7.3559779646096075</v>
      </c>
      <c r="C13" s="31">
        <v>7.483115647607202</v>
      </c>
      <c r="D13" s="31">
        <v>10.767296767732146</v>
      </c>
      <c r="E13" s="31">
        <v>10.256704614278805</v>
      </c>
      <c r="F13" s="31">
        <v>11.196667387601963</v>
      </c>
      <c r="G13" s="31">
        <v>13.130739680106235</v>
      </c>
      <c r="H13" s="31">
        <v>9.15554519123289</v>
      </c>
      <c r="I13" s="31">
        <v>8.436463092220512</v>
      </c>
      <c r="J13" s="31">
        <v>4.2571647386608245</v>
      </c>
      <c r="K13" s="31">
        <v>5.500584816511184</v>
      </c>
      <c r="L13" s="31">
        <v>8.918129330517765</v>
      </c>
      <c r="M13" s="31">
        <v>8.055590643309731</v>
      </c>
      <c r="N13" s="31">
        <v>9</v>
      </c>
    </row>
    <row r="14" spans="1:14" ht="14.25">
      <c r="A14" s="32">
        <v>2009</v>
      </c>
      <c r="B14" s="31">
        <v>8.018100402623975</v>
      </c>
      <c r="C14" s="31">
        <v>6.3834151649757445</v>
      </c>
      <c r="D14" s="31">
        <v>8.297224364843473</v>
      </c>
      <c r="E14" s="31">
        <v>7.711897171799688</v>
      </c>
      <c r="F14" s="31">
        <v>8.322520298684449</v>
      </c>
      <c r="G14" s="31">
        <v>7.085190129531959</v>
      </c>
      <c r="H14" s="31">
        <v>6.610836404983352</v>
      </c>
      <c r="I14" s="31">
        <v>7.031389227774635</v>
      </c>
      <c r="J14" s="31">
        <v>4.980726294984797</v>
      </c>
      <c r="K14" s="31">
        <v>5.071213452352408</v>
      </c>
      <c r="L14" s="31">
        <v>5.393670325969184</v>
      </c>
      <c r="M14" s="31">
        <v>7.263329898987153</v>
      </c>
      <c r="N14" s="31">
        <v>7.1</v>
      </c>
    </row>
    <row r="15" spans="1:14" ht="14.25">
      <c r="A15" s="33">
        <v>2010</v>
      </c>
      <c r="B15" s="31">
        <v>7.637924910088839</v>
      </c>
      <c r="C15" s="31">
        <v>7.075079480974551</v>
      </c>
      <c r="D15" s="31">
        <v>6.410568634511593</v>
      </c>
      <c r="E15" s="31">
        <v>8.96214762341784</v>
      </c>
      <c r="F15" s="31">
        <v>10.207802851389536</v>
      </c>
      <c r="G15" s="31">
        <v>9.377475960741737</v>
      </c>
      <c r="H15" s="31">
        <v>6.227352759795711</v>
      </c>
      <c r="I15" s="31">
        <v>4.104406339925242</v>
      </c>
      <c r="J15" s="31">
        <v>4.654938130527848</v>
      </c>
      <c r="K15" s="31">
        <v>4.773503040667388</v>
      </c>
      <c r="L15" s="31">
        <v>5.485679400865628</v>
      </c>
      <c r="M15" s="31">
        <v>7.099269686353901</v>
      </c>
      <c r="N15" s="31">
        <v>7.2</v>
      </c>
    </row>
    <row r="16" spans="1:14" ht="14.25">
      <c r="A16" s="32">
        <v>2011</v>
      </c>
      <c r="B16" s="31">
        <v>6.2520211632452405</v>
      </c>
      <c r="C16" s="31">
        <v>6.454339625894027</v>
      </c>
      <c r="D16" s="31">
        <v>6.755360173088489</v>
      </c>
      <c r="E16" s="31">
        <v>7.56614789609026</v>
      </c>
      <c r="F16" s="31">
        <v>8.22848080525184</v>
      </c>
      <c r="G16" s="31">
        <v>9.770803709115494</v>
      </c>
      <c r="H16" s="31">
        <v>9.523525772113505</v>
      </c>
      <c r="I16" s="31">
        <v>7.113316635015014</v>
      </c>
      <c r="J16" s="31">
        <v>5.4419387022893035</v>
      </c>
      <c r="K16" s="31">
        <v>6.306239994552366</v>
      </c>
      <c r="L16" s="31">
        <v>9.392269708627406</v>
      </c>
      <c r="M16" s="31">
        <v>12.827264026037541</v>
      </c>
      <c r="N16" s="31">
        <v>7.9693090176100405</v>
      </c>
    </row>
    <row r="17" spans="1:14" ht="14.25">
      <c r="A17" s="33">
        <v>2012</v>
      </c>
      <c r="B17" s="31">
        <v>9.805928400840356</v>
      </c>
      <c r="C17" s="31">
        <v>10.876108130954645</v>
      </c>
      <c r="D17" s="31">
        <v>10.104567483710305</v>
      </c>
      <c r="E17" s="31">
        <v>13.780521553032477</v>
      </c>
      <c r="F17" s="31">
        <v>13.786217470241539</v>
      </c>
      <c r="G17" s="31">
        <v>16.56847269230195</v>
      </c>
      <c r="H17" s="31">
        <v>15.450413013106271</v>
      </c>
      <c r="I17" s="31">
        <v>12.919997792620592</v>
      </c>
      <c r="J17" s="31">
        <v>12.337839130497985</v>
      </c>
      <c r="K17" s="31">
        <v>11.882083326482597</v>
      </c>
      <c r="L17" s="31">
        <v>15.35601407074673</v>
      </c>
      <c r="M17" s="31">
        <v>18.636120949169218</v>
      </c>
      <c r="N17" s="31">
        <v>13.4</v>
      </c>
    </row>
    <row r="18" spans="1:14" ht="14.25">
      <c r="A18" s="32">
        <v>2013</v>
      </c>
      <c r="B18" s="31">
        <v>15.895410627303564</v>
      </c>
      <c r="C18" s="31">
        <v>16.804659453551846</v>
      </c>
      <c r="D18" s="31">
        <v>15.882245214301205</v>
      </c>
      <c r="E18" s="31">
        <v>15.107418159025146</v>
      </c>
      <c r="F18" s="31">
        <v>14.810223377700133</v>
      </c>
      <c r="G18" s="31">
        <v>16.309935744375295</v>
      </c>
      <c r="H18" s="31">
        <v>12.091548678546415</v>
      </c>
      <c r="I18" s="31">
        <v>11.637545869563114</v>
      </c>
      <c r="J18" s="31">
        <v>8.883588484718812</v>
      </c>
      <c r="K18" s="31">
        <v>6.47160621601999</v>
      </c>
      <c r="L18" s="31">
        <v>9.075497148291879</v>
      </c>
      <c r="M18" s="31">
        <v>9.296751964370502</v>
      </c>
      <c r="N18" s="31">
        <v>12.8</v>
      </c>
    </row>
    <row r="19" spans="1:14" ht="14.25">
      <c r="A19" s="33">
        <v>2014</v>
      </c>
      <c r="B19" s="31">
        <v>10.422913418600729</v>
      </c>
      <c r="C19" s="31">
        <v>13.826152264852304</v>
      </c>
      <c r="D19" s="31">
        <v>15.65465455243894</v>
      </c>
      <c r="E19" s="31">
        <v>17.288797840210204</v>
      </c>
      <c r="F19" s="31">
        <v>17.8268464935326</v>
      </c>
      <c r="G19" s="31">
        <v>15.835032887913334</v>
      </c>
      <c r="H19" s="31">
        <v>13.705293411420003</v>
      </c>
      <c r="I19" s="31">
        <v>14.229185300004202</v>
      </c>
      <c r="J19" s="31">
        <v>13.031241317838699</v>
      </c>
      <c r="K19" s="31">
        <v>17.140991756625613</v>
      </c>
      <c r="L19" s="31">
        <v>18.805899280206972</v>
      </c>
      <c r="M19" s="31">
        <v>17.00994486726615</v>
      </c>
      <c r="N19" s="31">
        <v>15.5</v>
      </c>
    </row>
    <row r="20" spans="1:14" ht="14.25">
      <c r="A20" s="32">
        <v>2015</v>
      </c>
      <c r="B20" s="31">
        <v>15.574744155116937</v>
      </c>
      <c r="C20" s="31">
        <v>16.623639404876773</v>
      </c>
      <c r="D20" s="31">
        <v>18.253943353752</v>
      </c>
      <c r="E20" s="31">
        <v>18.21186321228026</v>
      </c>
      <c r="F20" s="31">
        <v>22.269782695468397</v>
      </c>
      <c r="G20" s="31">
        <v>18.751485007848228</v>
      </c>
      <c r="H20" s="31">
        <v>18.72763888866085</v>
      </c>
      <c r="I20" s="31">
        <v>17.134558160349343</v>
      </c>
      <c r="J20" s="31">
        <v>14.594586873398258</v>
      </c>
      <c r="K20" s="31">
        <v>14.407154744260275</v>
      </c>
      <c r="L20" s="31">
        <v>17.741423993474367</v>
      </c>
      <c r="M20" s="31">
        <v>17.679932334557144</v>
      </c>
      <c r="N20" s="31">
        <v>17.4</v>
      </c>
    </row>
    <row r="21" spans="1:14" ht="14.25">
      <c r="A21" s="33">
        <v>2016</v>
      </c>
      <c r="B21" s="31">
        <v>17.11112433820041</v>
      </c>
      <c r="C21" s="31">
        <v>17.53971916434808</v>
      </c>
      <c r="D21" s="31">
        <v>16.355377816126182</v>
      </c>
      <c r="E21" s="31">
        <v>17.242664262363053</v>
      </c>
      <c r="F21" s="31">
        <v>17.822540890215436</v>
      </c>
      <c r="G21" s="31">
        <v>17.007893784872586</v>
      </c>
      <c r="H21" s="31">
        <v>17.048785396481854</v>
      </c>
      <c r="I21" s="31">
        <v>13.981577887453584</v>
      </c>
      <c r="J21" s="31">
        <v>17.080077890593582</v>
      </c>
      <c r="K21" s="31">
        <v>16.51145250271373</v>
      </c>
      <c r="L21" s="31">
        <v>19.070960607434273</v>
      </c>
      <c r="M21" s="31">
        <v>21.035291834293464</v>
      </c>
      <c r="N21" s="31">
        <v>17.3</v>
      </c>
    </row>
    <row r="22" spans="1:14" ht="14.25">
      <c r="A22" s="32">
        <v>2017</v>
      </c>
      <c r="B22" s="31">
        <v>17.330486827437365</v>
      </c>
      <c r="C22" s="31">
        <v>18.48222331394905</v>
      </c>
      <c r="D22" s="31">
        <v>17.9</v>
      </c>
      <c r="E22" s="31">
        <v>17.92644879377686</v>
      </c>
      <c r="F22" s="31">
        <v>19.1</v>
      </c>
      <c r="G22" s="31">
        <v>16.97515047557833</v>
      </c>
      <c r="H22" s="31">
        <v>16.9</v>
      </c>
      <c r="I22" s="31">
        <v>14.614734180265085</v>
      </c>
      <c r="J22" s="31">
        <v>15.9</v>
      </c>
      <c r="K22" s="31">
        <v>17.256776081795323</v>
      </c>
      <c r="L22" s="31">
        <v>18.612372800077924</v>
      </c>
      <c r="M22" s="31">
        <v>19</v>
      </c>
      <c r="N22" s="31">
        <v>17.5</v>
      </c>
    </row>
    <row r="23" spans="1:14" ht="14.25">
      <c r="A23" s="32">
        <v>2018</v>
      </c>
      <c r="B23" s="31">
        <v>15.2</v>
      </c>
      <c r="C23" s="31">
        <v>17.1</v>
      </c>
      <c r="D23" s="31">
        <v>17.712654456771954</v>
      </c>
      <c r="E23" s="31">
        <v>17.31355417623943</v>
      </c>
      <c r="F23" s="31">
        <v>18.373331386802995</v>
      </c>
      <c r="G23" s="31">
        <v>16.568575510236258</v>
      </c>
      <c r="H23" s="31">
        <v>14.8</v>
      </c>
      <c r="I23" s="31">
        <v>13.8</v>
      </c>
      <c r="J23" s="31">
        <v>15.6</v>
      </c>
      <c r="K23" s="31">
        <v>13.7</v>
      </c>
      <c r="L23" s="31">
        <v>13.3</v>
      </c>
      <c r="M23" s="31">
        <v>16.7</v>
      </c>
      <c r="N23" s="31">
        <v>15.948484626483564</v>
      </c>
    </row>
    <row r="24" spans="1:14" ht="14.25">
      <c r="A24" s="32">
        <v>2019</v>
      </c>
      <c r="B24" s="31">
        <v>13.605264920830223</v>
      </c>
      <c r="C24" s="31">
        <v>15.492039507222035</v>
      </c>
      <c r="D24" s="31">
        <v>15.1</v>
      </c>
      <c r="E24" s="31">
        <v>15.2</v>
      </c>
      <c r="F24" s="31">
        <v>18</v>
      </c>
      <c r="G24" s="31">
        <v>15.4</v>
      </c>
      <c r="H24" s="31">
        <v>13.4</v>
      </c>
      <c r="I24" s="31">
        <v>13.9</v>
      </c>
      <c r="J24" s="31">
        <v>14.5</v>
      </c>
      <c r="K24" s="31">
        <v>16.3</v>
      </c>
      <c r="L24" s="31">
        <v>20.3</v>
      </c>
      <c r="M24" s="31">
        <v>20.7</v>
      </c>
      <c r="N24" s="31">
        <v>15.9</v>
      </c>
    </row>
    <row r="25" spans="1:14" ht="14.25">
      <c r="A25" s="83">
        <v>2020</v>
      </c>
      <c r="B25" s="82">
        <v>16.2</v>
      </c>
      <c r="C25" s="82">
        <v>16.1</v>
      </c>
      <c r="D25" s="82">
        <v>14.4</v>
      </c>
      <c r="E25" s="82">
        <v>20.2</v>
      </c>
      <c r="F25" s="82">
        <v>16</v>
      </c>
      <c r="G25" s="82">
        <v>24</v>
      </c>
      <c r="H25" s="82">
        <v>24.2</v>
      </c>
      <c r="I25" s="82">
        <v>18.1</v>
      </c>
      <c r="J25" s="82">
        <v>15.1</v>
      </c>
      <c r="K25" s="82">
        <v>18.7</v>
      </c>
      <c r="L25" s="82">
        <v>21.9</v>
      </c>
      <c r="M25" s="82">
        <v>19.4</v>
      </c>
      <c r="N25" s="82">
        <v>18.4</v>
      </c>
    </row>
    <row r="26" spans="1:14" ht="14.25">
      <c r="A26" s="83">
        <v>2021</v>
      </c>
      <c r="B26" s="82">
        <v>21.9</v>
      </c>
      <c r="C26" s="82">
        <v>20.1</v>
      </c>
      <c r="D26" s="82">
        <v>19</v>
      </c>
      <c r="E26" s="82">
        <v>26.5</v>
      </c>
      <c r="F26" s="82">
        <v>20.5</v>
      </c>
      <c r="G26" s="82">
        <v>15.9</v>
      </c>
      <c r="H26" s="82">
        <v>15.4</v>
      </c>
      <c r="I26" s="82">
        <v>9.5</v>
      </c>
      <c r="J26" s="82">
        <v>9.3</v>
      </c>
      <c r="K26" s="82">
        <v>10.3</v>
      </c>
      <c r="L26" s="82">
        <v>7.5</v>
      </c>
      <c r="M26" s="82">
        <v>8.5</v>
      </c>
      <c r="N26" s="82">
        <v>14.8</v>
      </c>
    </row>
    <row r="27" spans="1:14" ht="14.25">
      <c r="A27" s="83">
        <v>2022</v>
      </c>
      <c r="B27" s="82">
        <v>8.4</v>
      </c>
      <c r="C27" s="82">
        <v>2.9</v>
      </c>
      <c r="D27" s="82">
        <v>2.8</v>
      </c>
      <c r="E27" s="82">
        <v>9.1</v>
      </c>
      <c r="F27" s="82">
        <v>16.7</v>
      </c>
      <c r="G27" s="82">
        <v>4</v>
      </c>
      <c r="H27" s="82">
        <v>2.2</v>
      </c>
      <c r="I27" s="82">
        <v>1.6</v>
      </c>
      <c r="J27" s="82">
        <v>1.9</v>
      </c>
      <c r="K27" s="82">
        <v>1.1</v>
      </c>
      <c r="L27" s="82">
        <v>1.9</v>
      </c>
      <c r="M27" s="82">
        <v>4.6</v>
      </c>
      <c r="N27" s="82">
        <v>5.2</v>
      </c>
    </row>
    <row r="28" spans="1:14" ht="14.25">
      <c r="A28" s="83">
        <v>2023</v>
      </c>
      <c r="B28" s="82">
        <v>8.9</v>
      </c>
      <c r="C28" s="82">
        <v>13.3</v>
      </c>
      <c r="D28" s="82">
        <v>15.3</v>
      </c>
      <c r="E28" s="82">
        <v>16.4</v>
      </c>
      <c r="F28" s="82">
        <v>11.9</v>
      </c>
      <c r="G28" s="82">
        <v>4.2</v>
      </c>
      <c r="H28" s="82">
        <v>3.9</v>
      </c>
      <c r="I28" s="82">
        <v>3</v>
      </c>
      <c r="J28" s="82">
        <v>7</v>
      </c>
      <c r="K28" s="82">
        <v>3.4</v>
      </c>
      <c r="L28" s="82">
        <v>3.5</v>
      </c>
      <c r="M28" s="82">
        <v>1.9</v>
      </c>
      <c r="N28" s="82">
        <v>8</v>
      </c>
    </row>
    <row r="29" spans="1:14" ht="14.25">
      <c r="A29" s="28" t="s">
        <v>126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4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H30"/>
  <sheetViews>
    <sheetView zoomScale="90" zoomScaleNormal="90" zoomScalePageLayoutView="0" workbookViewId="0" topLeftCell="A1">
      <selection activeCell="N28" sqref="N28"/>
    </sheetView>
  </sheetViews>
  <sheetFormatPr defaultColWidth="9.140625" defaultRowHeight="12.75"/>
  <cols>
    <col min="1" max="1" width="6.7109375" style="28" customWidth="1"/>
    <col min="2" max="12" width="9.140625" style="28" customWidth="1"/>
    <col min="13" max="13" width="9.00390625" style="28" customWidth="1"/>
    <col min="14" max="16384" width="9.140625" style="28" customWidth="1"/>
  </cols>
  <sheetData>
    <row r="1" ht="15.75">
      <c r="A1" s="36" t="s">
        <v>139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7"/>
      <c r="B4" s="101" t="s">
        <v>22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34" ht="14.25">
      <c r="A5" s="33">
        <v>2000</v>
      </c>
      <c r="B5" s="41">
        <v>11.62</v>
      </c>
      <c r="C5" s="41">
        <v>11.52</v>
      </c>
      <c r="D5" s="41">
        <v>11.68</v>
      </c>
      <c r="E5" s="41">
        <v>11.77</v>
      </c>
      <c r="F5" s="41">
        <v>12.21</v>
      </c>
      <c r="G5" s="41">
        <v>12.38</v>
      </c>
      <c r="H5" s="41">
        <v>12.68</v>
      </c>
      <c r="I5" s="41">
        <v>12.49</v>
      </c>
      <c r="J5" s="41">
        <v>12.53</v>
      </c>
      <c r="K5" s="41">
        <v>12.04</v>
      </c>
      <c r="L5" s="41">
        <v>11.91</v>
      </c>
      <c r="M5" s="41">
        <v>12.16</v>
      </c>
      <c r="N5" s="41">
        <v>12.09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25">
      <c r="A6" s="32">
        <v>2001</v>
      </c>
      <c r="B6" s="41">
        <v>12.54</v>
      </c>
      <c r="C6" s="41">
        <v>12.28</v>
      </c>
      <c r="D6" s="41">
        <v>13.24</v>
      </c>
      <c r="E6" s="41">
        <v>13.94</v>
      </c>
      <c r="F6" s="41">
        <v>15.12</v>
      </c>
      <c r="G6" s="41">
        <v>15.97</v>
      </c>
      <c r="H6" s="41">
        <v>16.24</v>
      </c>
      <c r="I6" s="41">
        <v>16.54</v>
      </c>
      <c r="J6" s="41">
        <v>16.87</v>
      </c>
      <c r="K6" s="41">
        <v>15.03</v>
      </c>
      <c r="L6" s="41">
        <v>13.79</v>
      </c>
      <c r="M6" s="41">
        <v>12.64</v>
      </c>
      <c r="N6" s="41">
        <v>14.58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14.25">
      <c r="A7" s="33">
        <v>2002</v>
      </c>
      <c r="B7" s="41">
        <v>12.88</v>
      </c>
      <c r="C7" s="41">
        <v>12.46</v>
      </c>
      <c r="D7" s="41">
        <v>11.93</v>
      </c>
      <c r="E7" s="41">
        <v>11.92</v>
      </c>
      <c r="F7" s="41">
        <v>11.63</v>
      </c>
      <c r="G7" s="41">
        <v>11.24</v>
      </c>
      <c r="H7" s="41">
        <v>10.85</v>
      </c>
      <c r="I7" s="41">
        <v>11.19</v>
      </c>
      <c r="J7" s="41">
        <v>11.09</v>
      </c>
      <c r="K7" s="41">
        <v>11.32</v>
      </c>
      <c r="L7" s="41">
        <v>11.17</v>
      </c>
      <c r="M7" s="41">
        <v>11.12</v>
      </c>
      <c r="N7" s="41">
        <v>11.58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14.25">
      <c r="A8" s="32">
        <v>2003</v>
      </c>
      <c r="B8" s="41">
        <v>11.05</v>
      </c>
      <c r="C8" s="41">
        <v>10.72</v>
      </c>
      <c r="D8" s="41">
        <v>10.36</v>
      </c>
      <c r="E8" s="41">
        <v>10.47</v>
      </c>
      <c r="F8" s="41">
        <v>10.63</v>
      </c>
      <c r="G8" s="41">
        <v>10.63</v>
      </c>
      <c r="H8" s="41">
        <v>11.68</v>
      </c>
      <c r="I8" s="41">
        <v>12.6</v>
      </c>
      <c r="J8" s="41">
        <v>13.93</v>
      </c>
      <c r="K8" s="41">
        <v>14.25</v>
      </c>
      <c r="L8" s="41">
        <v>13.93</v>
      </c>
      <c r="M8" s="41">
        <v>13.26</v>
      </c>
      <c r="N8" s="41">
        <v>11.83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14.25">
      <c r="A9" s="33">
        <v>2004</v>
      </c>
      <c r="B9" s="41">
        <v>12.51</v>
      </c>
      <c r="C9" s="41">
        <v>12.87</v>
      </c>
      <c r="D9" s="41">
        <v>14.68</v>
      </c>
      <c r="E9" s="41">
        <v>15.88</v>
      </c>
      <c r="F9" s="41">
        <v>18.99</v>
      </c>
      <c r="G9" s="41">
        <v>18.56</v>
      </c>
      <c r="H9" s="41">
        <v>16.55</v>
      </c>
      <c r="I9" s="41">
        <v>14.61</v>
      </c>
      <c r="J9" s="41">
        <v>15.06</v>
      </c>
      <c r="K9" s="41">
        <v>14.89</v>
      </c>
      <c r="L9" s="41">
        <v>15.21</v>
      </c>
      <c r="M9" s="41">
        <v>15.52</v>
      </c>
      <c r="N9" s="41">
        <v>15.33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4.25">
      <c r="A10" s="32">
        <v>2005</v>
      </c>
      <c r="B10" s="41">
        <v>15.22</v>
      </c>
      <c r="C10" s="41">
        <v>14.71</v>
      </c>
      <c r="D10" s="41">
        <v>14.95</v>
      </c>
      <c r="E10" s="41">
        <v>14.76</v>
      </c>
      <c r="F10" s="41">
        <v>14.4</v>
      </c>
      <c r="G10" s="41">
        <v>14.36</v>
      </c>
      <c r="H10" s="41">
        <v>14.96</v>
      </c>
      <c r="I10" s="41">
        <v>14.94</v>
      </c>
      <c r="J10" s="41">
        <v>14.94</v>
      </c>
      <c r="K10" s="41">
        <v>14.91</v>
      </c>
      <c r="L10" s="41">
        <v>14.35</v>
      </c>
      <c r="M10" s="41">
        <v>13.9</v>
      </c>
      <c r="N10" s="41">
        <v>14.7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14.25">
      <c r="A11" s="33">
        <v>2006</v>
      </c>
      <c r="B11" s="41">
        <v>13.95</v>
      </c>
      <c r="C11" s="41">
        <v>13.28</v>
      </c>
      <c r="D11" s="41">
        <v>12.36</v>
      </c>
      <c r="E11" s="41">
        <v>11.75</v>
      </c>
      <c r="F11" s="41">
        <v>11.65</v>
      </c>
      <c r="G11" s="41">
        <v>11.74</v>
      </c>
      <c r="H11" s="41">
        <v>11.74</v>
      </c>
      <c r="I11" s="41">
        <v>11.98</v>
      </c>
      <c r="J11" s="41">
        <v>12.4</v>
      </c>
      <c r="K11" s="41">
        <v>12.91</v>
      </c>
      <c r="L11" s="41">
        <v>13.13</v>
      </c>
      <c r="M11" s="41">
        <v>13.41</v>
      </c>
      <c r="N11" s="41">
        <v>12.51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1:34" ht="14.25">
      <c r="A12" s="32">
        <v>2007</v>
      </c>
      <c r="B12" s="41">
        <v>14.03</v>
      </c>
      <c r="C12" s="41">
        <v>14.23</v>
      </c>
      <c r="D12" s="41">
        <v>15.12</v>
      </c>
      <c r="E12" s="41">
        <v>16.09</v>
      </c>
      <c r="F12" s="41">
        <v>17.63</v>
      </c>
      <c r="G12" s="41">
        <v>19.91</v>
      </c>
      <c r="H12" s="41">
        <v>21.97</v>
      </c>
      <c r="I12" s="41">
        <v>22.19</v>
      </c>
      <c r="J12" s="41">
        <v>21.94</v>
      </c>
      <c r="K12" s="41">
        <v>21.13</v>
      </c>
      <c r="L12" s="41">
        <v>21.08</v>
      </c>
      <c r="M12" s="41">
        <v>20.64</v>
      </c>
      <c r="N12" s="41">
        <v>18.75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ht="14.25">
      <c r="A13" s="32">
        <v>2008</v>
      </c>
      <c r="B13" s="41">
        <v>20.25</v>
      </c>
      <c r="C13" s="41">
        <v>18.65</v>
      </c>
      <c r="D13" s="41">
        <v>17.21</v>
      </c>
      <c r="E13" s="41">
        <v>17.77</v>
      </c>
      <c r="F13" s="41">
        <v>17.53</v>
      </c>
      <c r="G13" s="41">
        <v>18.96</v>
      </c>
      <c r="H13" s="41">
        <v>19.71</v>
      </c>
      <c r="I13" s="41">
        <v>18.7</v>
      </c>
      <c r="J13" s="41">
        <v>18.05</v>
      </c>
      <c r="K13" s="41">
        <v>16.8</v>
      </c>
      <c r="L13" s="41">
        <v>16.32</v>
      </c>
      <c r="M13" s="41">
        <v>14.42</v>
      </c>
      <c r="N13" s="41">
        <v>17.92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ht="14.25">
      <c r="A14" s="32">
        <v>2009</v>
      </c>
      <c r="B14" s="41">
        <v>13.22</v>
      </c>
      <c r="C14" s="41">
        <v>10.83</v>
      </c>
      <c r="D14" s="41">
        <v>10.73</v>
      </c>
      <c r="E14" s="41">
        <v>11.28</v>
      </c>
      <c r="F14" s="41">
        <v>11.27</v>
      </c>
      <c r="G14" s="41">
        <v>10.99</v>
      </c>
      <c r="H14" s="41">
        <v>11.07</v>
      </c>
      <c r="I14" s="41">
        <v>11.47</v>
      </c>
      <c r="J14" s="41">
        <v>12.07</v>
      </c>
      <c r="K14" s="41">
        <v>13.14</v>
      </c>
      <c r="L14" s="41">
        <v>14.11</v>
      </c>
      <c r="M14" s="41">
        <v>15.12</v>
      </c>
      <c r="N14" s="41">
        <v>12.09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ht="14.25">
      <c r="A15" s="33">
        <v>2010</v>
      </c>
      <c r="B15" s="41">
        <v>15.3</v>
      </c>
      <c r="C15" s="41">
        <v>15.38</v>
      </c>
      <c r="D15" s="41">
        <v>14.52</v>
      </c>
      <c r="E15" s="41">
        <v>14.03</v>
      </c>
      <c r="F15" s="41">
        <v>14.76</v>
      </c>
      <c r="G15" s="41">
        <v>15.6</v>
      </c>
      <c r="H15" s="41">
        <v>16.12</v>
      </c>
      <c r="I15" s="41">
        <v>16.76</v>
      </c>
      <c r="J15" s="41">
        <v>17.26</v>
      </c>
      <c r="K15" s="41">
        <v>17.56</v>
      </c>
      <c r="L15" s="41">
        <v>17.02</v>
      </c>
      <c r="M15" s="41">
        <v>15.76</v>
      </c>
      <c r="N15" s="41">
        <v>15.79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14.25">
      <c r="A16" s="32">
        <v>2011</v>
      </c>
      <c r="B16" s="41">
        <v>15.78</v>
      </c>
      <c r="C16" s="41">
        <v>17.68</v>
      </c>
      <c r="D16" s="41">
        <v>19.4</v>
      </c>
      <c r="E16" s="41">
        <v>19.19</v>
      </c>
      <c r="F16" s="41">
        <v>19.34</v>
      </c>
      <c r="G16" s="41">
        <v>20.8</v>
      </c>
      <c r="H16" s="41">
        <v>21.91</v>
      </c>
      <c r="I16" s="41">
        <v>22.29</v>
      </c>
      <c r="J16" s="41">
        <v>21.15</v>
      </c>
      <c r="K16" s="41">
        <v>19.23</v>
      </c>
      <c r="L16" s="41">
        <v>19.18</v>
      </c>
      <c r="M16" s="41">
        <v>18.54</v>
      </c>
      <c r="N16" s="41">
        <v>19.59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ht="14.25">
      <c r="A17" s="33">
        <v>2012</v>
      </c>
      <c r="B17" s="41">
        <v>18.24</v>
      </c>
      <c r="C17" s="41">
        <v>16.98</v>
      </c>
      <c r="D17" s="41">
        <v>16.55</v>
      </c>
      <c r="E17" s="41">
        <v>16.23</v>
      </c>
      <c r="F17" s="41">
        <v>15.74</v>
      </c>
      <c r="G17" s="41">
        <v>15.53</v>
      </c>
      <c r="H17" s="41">
        <v>16.39</v>
      </c>
      <c r="I17" s="41">
        <v>17.47</v>
      </c>
      <c r="J17" s="41">
        <v>18.53</v>
      </c>
      <c r="K17" s="41">
        <v>19.67</v>
      </c>
      <c r="L17" s="41">
        <v>20.38</v>
      </c>
      <c r="M17" s="41">
        <v>19.72</v>
      </c>
      <c r="N17" s="41">
        <v>17.54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4.25">
      <c r="A18" s="32">
        <v>2013</v>
      </c>
      <c r="B18" s="41">
        <v>18.73</v>
      </c>
      <c r="C18" s="41">
        <v>18.37</v>
      </c>
      <c r="D18" s="41">
        <v>18.22</v>
      </c>
      <c r="E18" s="41">
        <v>18.49</v>
      </c>
      <c r="F18" s="41">
        <v>18.89</v>
      </c>
      <c r="G18" s="41">
        <v>19.22</v>
      </c>
      <c r="H18" s="41">
        <v>19.12</v>
      </c>
      <c r="I18" s="41">
        <v>19.32</v>
      </c>
      <c r="J18" s="41">
        <v>19.56</v>
      </c>
      <c r="K18" s="41">
        <v>19.77</v>
      </c>
      <c r="L18" s="41">
        <v>20.12</v>
      </c>
      <c r="M18" s="41">
        <v>20.58</v>
      </c>
      <c r="N18" s="41">
        <v>19.17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14.25">
      <c r="A19" s="33">
        <v>2014</v>
      </c>
      <c r="B19" s="41">
        <v>21.9</v>
      </c>
      <c r="C19" s="41">
        <v>23.37</v>
      </c>
      <c r="D19" s="41">
        <v>23.95</v>
      </c>
      <c r="E19" s="41">
        <v>24.48</v>
      </c>
      <c r="F19" s="41">
        <v>24.04</v>
      </c>
      <c r="G19" s="41">
        <v>23.21</v>
      </c>
      <c r="H19" s="41">
        <v>23.48</v>
      </c>
      <c r="I19" s="41">
        <v>24.2</v>
      </c>
      <c r="J19" s="41">
        <v>25.07</v>
      </c>
      <c r="K19" s="41">
        <v>23.31</v>
      </c>
      <c r="L19" s="41">
        <v>21.2</v>
      </c>
      <c r="M19" s="41">
        <v>19.74</v>
      </c>
      <c r="N19" s="41">
        <v>23.13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4.25">
      <c r="A20" s="32">
        <v>2015</v>
      </c>
      <c r="B20" s="41">
        <v>16.67</v>
      </c>
      <c r="C20" s="41">
        <v>15.77</v>
      </c>
      <c r="D20" s="41">
        <v>15.53</v>
      </c>
      <c r="E20" s="41">
        <v>15.7</v>
      </c>
      <c r="F20" s="41">
        <v>15.98</v>
      </c>
      <c r="G20" s="41">
        <v>16.26</v>
      </c>
      <c r="H20" s="41">
        <v>16.16</v>
      </c>
      <c r="I20" s="41">
        <v>16.05</v>
      </c>
      <c r="J20" s="41">
        <v>16.77</v>
      </c>
      <c r="K20" s="41">
        <v>16.59</v>
      </c>
      <c r="L20" s="41">
        <v>17.15</v>
      </c>
      <c r="M20" s="41">
        <v>16.13</v>
      </c>
      <c r="N20" s="41">
        <v>16.24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4.25">
      <c r="A21" s="33">
        <v>2016</v>
      </c>
      <c r="B21" s="41">
        <v>14.6</v>
      </c>
      <c r="C21" s="41">
        <v>14.37</v>
      </c>
      <c r="D21" s="41">
        <v>13.97</v>
      </c>
      <c r="E21" s="41">
        <v>14.02</v>
      </c>
      <c r="F21" s="41">
        <v>13.81</v>
      </c>
      <c r="G21" s="41">
        <v>14.17</v>
      </c>
      <c r="H21" s="41">
        <v>15.45</v>
      </c>
      <c r="I21" s="41">
        <v>16.14</v>
      </c>
      <c r="J21" s="41">
        <v>16.27</v>
      </c>
      <c r="K21" s="41">
        <v>15.41</v>
      </c>
      <c r="L21" s="41">
        <v>15.38</v>
      </c>
      <c r="M21" s="41">
        <v>16.79</v>
      </c>
      <c r="N21" s="41">
        <v>15.03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4.25">
      <c r="A22" s="32">
        <v>2017</v>
      </c>
      <c r="B22" s="41">
        <v>17.35</v>
      </c>
      <c r="C22" s="41">
        <v>16.92</v>
      </c>
      <c r="D22" s="41">
        <v>16.43</v>
      </c>
      <c r="E22" s="41">
        <v>15.61</v>
      </c>
      <c r="F22" s="41">
        <v>15.67</v>
      </c>
      <c r="G22" s="41">
        <v>16.71</v>
      </c>
      <c r="H22" s="41">
        <v>17.01</v>
      </c>
      <c r="I22" s="41">
        <v>17.47</v>
      </c>
      <c r="J22" s="41">
        <v>17</v>
      </c>
      <c r="K22" s="41">
        <v>16.57</v>
      </c>
      <c r="L22" s="41">
        <v>16.24</v>
      </c>
      <c r="M22" s="41">
        <v>15.8</v>
      </c>
      <c r="N22" s="41">
        <v>16.56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4.25">
      <c r="A23" s="32">
        <v>2018</v>
      </c>
      <c r="B23" s="41">
        <v>14.84</v>
      </c>
      <c r="C23" s="41">
        <v>14.01</v>
      </c>
      <c r="D23" s="41">
        <v>14.24</v>
      </c>
      <c r="E23" s="41">
        <v>14.63</v>
      </c>
      <c r="F23" s="41">
        <v>15.33</v>
      </c>
      <c r="G23" s="41">
        <v>15.84</v>
      </c>
      <c r="H23" s="41">
        <v>15.22</v>
      </c>
      <c r="I23" s="41">
        <v>15.35</v>
      </c>
      <c r="J23" s="41">
        <v>15.83</v>
      </c>
      <c r="K23" s="41">
        <v>16.3</v>
      </c>
      <c r="L23" s="41">
        <v>15.68</v>
      </c>
      <c r="M23" s="41">
        <v>15.25</v>
      </c>
      <c r="N23" s="41">
        <v>15.21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4.25">
      <c r="A24" s="32">
        <v>2019</v>
      </c>
      <c r="B24" s="41">
        <v>15.46</v>
      </c>
      <c r="C24" s="41">
        <v>15.6</v>
      </c>
      <c r="D24" s="41">
        <v>16.19</v>
      </c>
      <c r="E24" s="41">
        <v>16.44</v>
      </c>
      <c r="F24" s="41">
        <v>16.94</v>
      </c>
      <c r="G24" s="41">
        <v>17.4</v>
      </c>
      <c r="H24" s="41">
        <v>18.02</v>
      </c>
      <c r="I24" s="41">
        <v>18.2</v>
      </c>
      <c r="J24" s="41">
        <v>18</v>
      </c>
      <c r="K24" s="41">
        <v>17.86</v>
      </c>
      <c r="L24" s="41">
        <v>18.01</v>
      </c>
      <c r="M24" s="41">
        <v>18.44</v>
      </c>
      <c r="N24" s="41">
        <v>17.2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4.25">
      <c r="A25" s="83">
        <v>2020</v>
      </c>
      <c r="B25" s="84">
        <v>17.94</v>
      </c>
      <c r="C25" s="84">
        <v>17.27</v>
      </c>
      <c r="D25" s="84">
        <v>16.97</v>
      </c>
      <c r="E25" s="84">
        <v>14.22</v>
      </c>
      <c r="F25" s="84">
        <v>12.73</v>
      </c>
      <c r="G25" s="84">
        <v>13.99</v>
      </c>
      <c r="H25" s="84">
        <v>16.52</v>
      </c>
      <c r="I25" s="84">
        <v>16.84</v>
      </c>
      <c r="J25" s="84">
        <v>16.16</v>
      </c>
      <c r="K25" s="84">
        <v>14.74</v>
      </c>
      <c r="L25" s="84">
        <v>15.94</v>
      </c>
      <c r="M25" s="84">
        <v>16.9</v>
      </c>
      <c r="N25" s="84">
        <v>15.85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14" ht="14.25">
      <c r="A26" s="83">
        <v>2021</v>
      </c>
      <c r="B26" s="84">
        <v>14.96</v>
      </c>
      <c r="C26" s="84">
        <v>14.91</v>
      </c>
      <c r="D26" s="84">
        <v>15.68</v>
      </c>
      <c r="E26" s="84">
        <v>16.33</v>
      </c>
      <c r="F26" s="84">
        <v>17.43</v>
      </c>
      <c r="G26" s="84">
        <v>17.81</v>
      </c>
      <c r="H26" s="84">
        <v>17.25</v>
      </c>
      <c r="I26" s="84">
        <v>16.85</v>
      </c>
      <c r="J26" s="84">
        <v>17.12</v>
      </c>
      <c r="K26" s="84">
        <v>17.7</v>
      </c>
      <c r="L26" s="84">
        <v>18.53</v>
      </c>
      <c r="M26" s="84">
        <v>19.35</v>
      </c>
      <c r="N26" s="84">
        <v>17.08</v>
      </c>
    </row>
    <row r="27" spans="1:14" ht="14.25">
      <c r="A27" s="83">
        <v>2022</v>
      </c>
      <c r="B27" s="84">
        <v>21.34</v>
      </c>
      <c r="C27" s="84">
        <v>22.19</v>
      </c>
      <c r="D27" s="84">
        <v>23.38</v>
      </c>
      <c r="E27" s="84">
        <v>24.91</v>
      </c>
      <c r="F27" s="84">
        <v>25.59</v>
      </c>
      <c r="G27" s="84">
        <v>25.78</v>
      </c>
      <c r="H27" s="84">
        <v>24.7</v>
      </c>
      <c r="I27" s="84">
        <v>23.33</v>
      </c>
      <c r="J27" s="84">
        <v>22.64</v>
      </c>
      <c r="K27" s="84">
        <v>22.99</v>
      </c>
      <c r="L27" s="84">
        <v>22.75</v>
      </c>
      <c r="M27" s="84">
        <v>21.81</v>
      </c>
      <c r="N27" s="84">
        <v>23.45</v>
      </c>
    </row>
    <row r="28" spans="1:14" ht="14.25">
      <c r="A28" s="83">
        <v>2023</v>
      </c>
      <c r="B28" s="84">
        <v>20.82</v>
      </c>
      <c r="C28" s="84">
        <v>19.52</v>
      </c>
      <c r="D28" s="84">
        <v>18.91</v>
      </c>
      <c r="E28" s="84">
        <v>18.96</v>
      </c>
      <c r="F28" s="84">
        <v>18.21</v>
      </c>
      <c r="G28" s="84">
        <v>17.08</v>
      </c>
      <c r="H28" s="84">
        <v>16.24</v>
      </c>
      <c r="I28" s="84">
        <v>19.38</v>
      </c>
      <c r="J28" s="84">
        <v>19.38</v>
      </c>
      <c r="K28" s="84">
        <v>19.66</v>
      </c>
      <c r="L28" s="84">
        <v>19.27</v>
      </c>
      <c r="M28" s="84">
        <v>18.2</v>
      </c>
      <c r="N28" s="84">
        <v>18.69</v>
      </c>
    </row>
    <row r="29" spans="2:14" ht="14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4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H30"/>
  <sheetViews>
    <sheetView zoomScale="90" zoomScaleNormal="90" zoomScalePageLayoutView="0" workbookViewId="0" topLeftCell="A11">
      <selection activeCell="N29" sqref="N29"/>
    </sheetView>
  </sheetViews>
  <sheetFormatPr defaultColWidth="9.140625" defaultRowHeight="12.75"/>
  <cols>
    <col min="1" max="1" width="6.7109375" style="28" customWidth="1"/>
    <col min="2" max="16384" width="9.140625" style="28" customWidth="1"/>
  </cols>
  <sheetData>
    <row r="1" ht="15.75">
      <c r="A1" s="36" t="s">
        <v>140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7"/>
      <c r="B4" s="101" t="s">
        <v>22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34" ht="14.25">
      <c r="A5" s="28">
        <v>2000</v>
      </c>
      <c r="B5" s="41">
        <v>1.57</v>
      </c>
      <c r="C5" s="41">
        <v>1.98</v>
      </c>
      <c r="D5" s="43">
        <v>2.14</v>
      </c>
      <c r="E5" s="43">
        <v>2.36</v>
      </c>
      <c r="F5" s="43">
        <v>2.84</v>
      </c>
      <c r="G5" s="43">
        <v>2.92</v>
      </c>
      <c r="H5" s="41">
        <v>2.02</v>
      </c>
      <c r="I5" s="43">
        <v>2.36</v>
      </c>
      <c r="J5" s="41">
        <v>1.77</v>
      </c>
      <c r="K5" s="43">
        <v>2.02</v>
      </c>
      <c r="L5" s="41">
        <v>3.34</v>
      </c>
      <c r="M5" s="43">
        <v>2.79</v>
      </c>
      <c r="N5" s="41">
        <v>2.3425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25">
      <c r="A6" s="44">
        <v>2001</v>
      </c>
      <c r="B6" s="41">
        <v>2.55</v>
      </c>
      <c r="C6" s="41">
        <v>2.01</v>
      </c>
      <c r="D6" s="43">
        <v>1.82</v>
      </c>
      <c r="E6" s="43">
        <v>1.88</v>
      </c>
      <c r="F6" s="43">
        <v>1.29</v>
      </c>
      <c r="G6" s="43">
        <v>0.95</v>
      </c>
      <c r="H6" s="41">
        <v>0.78</v>
      </c>
      <c r="I6" s="43">
        <v>0.99</v>
      </c>
      <c r="J6" s="41">
        <v>0.97</v>
      </c>
      <c r="K6" s="43">
        <v>0.43</v>
      </c>
      <c r="L6" s="41">
        <v>2.48</v>
      </c>
      <c r="M6" s="43">
        <v>0.84</v>
      </c>
      <c r="N6" s="41">
        <v>1.41583333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14.25">
      <c r="A7" s="28">
        <v>2002</v>
      </c>
      <c r="B7" s="41">
        <v>1.01</v>
      </c>
      <c r="C7" s="41">
        <v>0.83</v>
      </c>
      <c r="D7" s="43">
        <v>1.28</v>
      </c>
      <c r="E7" s="43">
        <v>1.07</v>
      </c>
      <c r="F7" s="43">
        <v>0.81</v>
      </c>
      <c r="G7" s="43">
        <v>1.15</v>
      </c>
      <c r="H7" s="41">
        <v>1.52</v>
      </c>
      <c r="I7" s="43">
        <v>1.65</v>
      </c>
      <c r="J7" s="41">
        <v>1.17</v>
      </c>
      <c r="K7" s="43">
        <v>0.6</v>
      </c>
      <c r="L7" s="41">
        <v>1.33</v>
      </c>
      <c r="M7" s="43">
        <v>1.38</v>
      </c>
      <c r="N7" s="41">
        <v>1.15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14.25">
      <c r="A8" s="44">
        <v>2003</v>
      </c>
      <c r="B8" s="41">
        <v>1.27</v>
      </c>
      <c r="C8" s="41">
        <v>1.06</v>
      </c>
      <c r="D8" s="43">
        <v>1.25</v>
      </c>
      <c r="E8" s="43">
        <v>1.06</v>
      </c>
      <c r="F8" s="43">
        <v>0.92</v>
      </c>
      <c r="G8" s="43">
        <v>0.88</v>
      </c>
      <c r="H8" s="41">
        <v>-0.1</v>
      </c>
      <c r="I8" s="43">
        <v>-1.2</v>
      </c>
      <c r="J8" s="41">
        <v>-0.37</v>
      </c>
      <c r="K8" s="43">
        <v>-0.14</v>
      </c>
      <c r="L8" s="41">
        <v>0.46</v>
      </c>
      <c r="M8" s="43">
        <v>1.39</v>
      </c>
      <c r="N8" s="41">
        <v>0.54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14.25">
      <c r="A9" s="28">
        <v>2004</v>
      </c>
      <c r="B9" s="41">
        <v>0.9</v>
      </c>
      <c r="C9" s="41">
        <v>0.98</v>
      </c>
      <c r="D9" s="43">
        <v>0.19</v>
      </c>
      <c r="E9" s="43">
        <v>-3.78</v>
      </c>
      <c r="F9" s="43">
        <v>-1.59</v>
      </c>
      <c r="G9" s="43">
        <v>0.88</v>
      </c>
      <c r="H9" s="41">
        <v>1.7</v>
      </c>
      <c r="I9" s="43">
        <v>0.57</v>
      </c>
      <c r="J9" s="41">
        <v>0.34</v>
      </c>
      <c r="K9" s="43">
        <v>0.73</v>
      </c>
      <c r="L9" s="41">
        <v>0.32</v>
      </c>
      <c r="M9" s="43">
        <v>-0.62</v>
      </c>
      <c r="N9" s="41">
        <v>0.05166667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4.25">
      <c r="A10" s="44">
        <v>2005</v>
      </c>
      <c r="B10" s="41">
        <v>1.08</v>
      </c>
      <c r="C10" s="41">
        <v>0.01</v>
      </c>
      <c r="D10" s="43">
        <v>0.87</v>
      </c>
      <c r="E10" s="43">
        <v>0.15</v>
      </c>
      <c r="F10" s="43">
        <v>0.63</v>
      </c>
      <c r="G10" s="43">
        <v>0.44</v>
      </c>
      <c r="H10" s="41">
        <v>0.61</v>
      </c>
      <c r="I10" s="43">
        <v>1.34</v>
      </c>
      <c r="J10" s="41">
        <v>0.64</v>
      </c>
      <c r="K10" s="43">
        <v>0.56</v>
      </c>
      <c r="L10" s="41">
        <v>1</v>
      </c>
      <c r="M10" s="43">
        <v>0.53</v>
      </c>
      <c r="N10" s="41">
        <v>0.655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14.25">
      <c r="A11" s="28">
        <v>2006</v>
      </c>
      <c r="B11" s="41">
        <v>0.56</v>
      </c>
      <c r="C11" s="41">
        <v>1.08</v>
      </c>
      <c r="D11" s="43">
        <v>1.25</v>
      </c>
      <c r="E11" s="43">
        <v>0.82</v>
      </c>
      <c r="F11" s="43">
        <v>0.82</v>
      </c>
      <c r="G11" s="43">
        <v>0.45</v>
      </c>
      <c r="H11" s="41">
        <v>0.82</v>
      </c>
      <c r="I11" s="43">
        <v>0.92</v>
      </c>
      <c r="J11" s="41">
        <v>0.11</v>
      </c>
      <c r="K11" s="43">
        <v>0.59</v>
      </c>
      <c r="L11" s="41">
        <v>0.29</v>
      </c>
      <c r="M11" s="43">
        <v>-0.06</v>
      </c>
      <c r="N11" s="41">
        <v>0.6375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1:34" ht="14.25">
      <c r="A12" s="44">
        <v>2007</v>
      </c>
      <c r="B12" s="41">
        <v>0.47</v>
      </c>
      <c r="C12" s="41">
        <v>0.05</v>
      </c>
      <c r="D12" s="43">
        <v>0.03</v>
      </c>
      <c r="E12" s="43">
        <v>0</v>
      </c>
      <c r="F12" s="43">
        <v>0.03</v>
      </c>
      <c r="G12" s="43">
        <v>-0.26</v>
      </c>
      <c r="H12" s="41">
        <v>0.59</v>
      </c>
      <c r="I12" s="43">
        <v>2.36</v>
      </c>
      <c r="J12" s="41">
        <v>1.87</v>
      </c>
      <c r="K12" s="43">
        <v>2.43</v>
      </c>
      <c r="L12" s="41">
        <v>1.86</v>
      </c>
      <c r="M12" s="43">
        <v>0.04</v>
      </c>
      <c r="N12" s="41">
        <v>0.78916667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ht="14.25">
      <c r="A13" s="44">
        <v>2008</v>
      </c>
      <c r="B13" s="41">
        <v>0.93</v>
      </c>
      <c r="C13" s="41">
        <v>1.62</v>
      </c>
      <c r="D13" s="43">
        <v>-0.79</v>
      </c>
      <c r="E13" s="43">
        <v>1.01</v>
      </c>
      <c r="F13" s="43">
        <v>-0.65</v>
      </c>
      <c r="G13" s="43">
        <v>-1.29</v>
      </c>
      <c r="H13" s="41">
        <v>1.47</v>
      </c>
      <c r="I13" s="43">
        <v>1.38</v>
      </c>
      <c r="J13" s="41">
        <v>1.77</v>
      </c>
      <c r="K13" s="43">
        <v>-0.26</v>
      </c>
      <c r="L13" s="41">
        <v>0.81</v>
      </c>
      <c r="M13" s="43">
        <v>-0.86</v>
      </c>
      <c r="N13" s="41">
        <v>0.42833333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ht="14.25">
      <c r="A14" s="44">
        <v>2009</v>
      </c>
      <c r="B14" s="41">
        <v>2.44</v>
      </c>
      <c r="C14" s="41">
        <v>1.52</v>
      </c>
      <c r="D14" s="43">
        <v>0.29</v>
      </c>
      <c r="E14" s="43">
        <v>0.5</v>
      </c>
      <c r="F14" s="43">
        <v>1.43</v>
      </c>
      <c r="G14" s="43">
        <v>1.02</v>
      </c>
      <c r="H14" s="41">
        <v>1.1</v>
      </c>
      <c r="I14" s="43">
        <v>0.27</v>
      </c>
      <c r="J14" s="41">
        <v>-0.04</v>
      </c>
      <c r="K14" s="43">
        <v>0.32</v>
      </c>
      <c r="L14" s="41">
        <v>0.03</v>
      </c>
      <c r="M14" s="43">
        <v>0.14</v>
      </c>
      <c r="N14" s="41">
        <v>0.75166667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ht="14.25">
      <c r="A15" s="28">
        <v>2010</v>
      </c>
      <c r="B15" s="41">
        <v>0.8</v>
      </c>
      <c r="C15" s="41">
        <v>1.1</v>
      </c>
      <c r="D15" s="43">
        <v>1.74</v>
      </c>
      <c r="E15" s="43">
        <v>1.11</v>
      </c>
      <c r="F15" s="43">
        <v>1.38</v>
      </c>
      <c r="G15" s="43">
        <v>1.98</v>
      </c>
      <c r="H15" s="41">
        <v>2.38</v>
      </c>
      <c r="I15" s="43">
        <v>1.58</v>
      </c>
      <c r="J15" s="41">
        <v>1</v>
      </c>
      <c r="K15" s="43">
        <v>0.62</v>
      </c>
      <c r="L15" s="41">
        <v>1.58</v>
      </c>
      <c r="M15" s="43">
        <v>1.93</v>
      </c>
      <c r="N15" s="41">
        <v>1.43333333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14.25">
      <c r="A16" s="44">
        <v>2011</v>
      </c>
      <c r="B16" s="41">
        <v>2.3</v>
      </c>
      <c r="C16" s="41">
        <v>0.68</v>
      </c>
      <c r="D16" s="43">
        <v>0</v>
      </c>
      <c r="E16" s="43">
        <v>2.32</v>
      </c>
      <c r="F16" s="43">
        <v>2.82</v>
      </c>
      <c r="G16" s="43">
        <v>1.69</v>
      </c>
      <c r="H16" s="41">
        <v>0.52</v>
      </c>
      <c r="I16" s="43">
        <v>0.62</v>
      </c>
      <c r="J16" s="41">
        <v>2.08</v>
      </c>
      <c r="K16" s="43">
        <v>1.2</v>
      </c>
      <c r="L16" s="41">
        <v>0.11</v>
      </c>
      <c r="M16" s="43">
        <v>-0.23</v>
      </c>
      <c r="N16" s="41">
        <v>1.17583333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ht="14.25">
      <c r="A17" s="28">
        <v>2012</v>
      </c>
      <c r="B17" s="41">
        <v>1.19</v>
      </c>
      <c r="C17" s="41">
        <v>0.92</v>
      </c>
      <c r="D17" s="43">
        <v>0.83</v>
      </c>
      <c r="E17" s="43">
        <v>0.51</v>
      </c>
      <c r="F17" s="43">
        <v>0.51</v>
      </c>
      <c r="G17" s="43">
        <v>-0.1</v>
      </c>
      <c r="H17" s="41">
        <v>-0.29</v>
      </c>
      <c r="I17" s="43">
        <v>-0.26</v>
      </c>
      <c r="J17" s="41">
        <v>-0.47</v>
      </c>
      <c r="K17" s="43">
        <v>-1.35</v>
      </c>
      <c r="L17" s="41">
        <v>-0.45</v>
      </c>
      <c r="M17" s="43">
        <v>1.06</v>
      </c>
      <c r="N17" s="41">
        <v>0.175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4.25">
      <c r="A18" s="44">
        <v>2013</v>
      </c>
      <c r="B18" s="41">
        <v>0.59</v>
      </c>
      <c r="C18" s="41">
        <v>1.12</v>
      </c>
      <c r="D18" s="43">
        <v>1.29</v>
      </c>
      <c r="E18" s="43">
        <v>0.9</v>
      </c>
      <c r="F18" s="43">
        <v>0.37</v>
      </c>
      <c r="G18" s="43">
        <v>1.2</v>
      </c>
      <c r="H18" s="41">
        <v>1.74</v>
      </c>
      <c r="I18" s="43">
        <v>1.41</v>
      </c>
      <c r="J18" s="41">
        <v>1.42</v>
      </c>
      <c r="K18" s="43">
        <v>1.55</v>
      </c>
      <c r="L18" s="41">
        <v>1.29</v>
      </c>
      <c r="M18" s="43">
        <v>1.63</v>
      </c>
      <c r="N18" s="41">
        <v>1.20916667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14.25">
      <c r="A19" s="28">
        <v>2014</v>
      </c>
      <c r="B19" s="41">
        <v>0.75</v>
      </c>
      <c r="C19" s="41">
        <v>0.02</v>
      </c>
      <c r="D19" s="43">
        <v>0.62</v>
      </c>
      <c r="E19" s="43">
        <v>0.17</v>
      </c>
      <c r="F19" s="43">
        <v>1.47</v>
      </c>
      <c r="G19" s="43">
        <v>1.85</v>
      </c>
      <c r="H19" s="41">
        <v>1.88</v>
      </c>
      <c r="I19" s="43">
        <v>1.95</v>
      </c>
      <c r="J19" s="41">
        <v>0.47</v>
      </c>
      <c r="K19" s="43">
        <v>-0.51</v>
      </c>
      <c r="L19" s="41">
        <v>-0.74</v>
      </c>
      <c r="M19" s="43">
        <v>1.92</v>
      </c>
      <c r="N19" s="41">
        <v>0.82083333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4.25">
      <c r="A20" s="44">
        <v>2015</v>
      </c>
      <c r="B20" s="41">
        <v>0.49</v>
      </c>
      <c r="C20" s="41">
        <v>0.31</v>
      </c>
      <c r="D20" s="43">
        <v>-0.03</v>
      </c>
      <c r="E20" s="43">
        <v>-0.11</v>
      </c>
      <c r="F20" s="43">
        <v>-0.21</v>
      </c>
      <c r="G20" s="43">
        <v>-0.46</v>
      </c>
      <c r="H20" s="41">
        <v>-0.17</v>
      </c>
      <c r="I20" s="43">
        <v>-0.22</v>
      </c>
      <c r="J20" s="41">
        <v>0.95</v>
      </c>
      <c r="K20" s="43">
        <v>1.13</v>
      </c>
      <c r="L20" s="41">
        <v>1.85</v>
      </c>
      <c r="M20" s="43">
        <v>1.69</v>
      </c>
      <c r="N20" s="41">
        <v>0.435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4.25">
      <c r="A21" s="28">
        <v>2016</v>
      </c>
      <c r="B21" s="41">
        <v>0.88</v>
      </c>
      <c r="C21" s="41">
        <v>0.57</v>
      </c>
      <c r="D21" s="43">
        <v>0.23</v>
      </c>
      <c r="E21" s="43">
        <v>0.39</v>
      </c>
      <c r="F21" s="43">
        <v>1.05</v>
      </c>
      <c r="G21" s="43">
        <v>0.95</v>
      </c>
      <c r="H21" s="41">
        <v>0.21</v>
      </c>
      <c r="I21" s="43">
        <v>-0.77</v>
      </c>
      <c r="J21" s="41">
        <v>-0.12</v>
      </c>
      <c r="K21" s="43">
        <v>0.59</v>
      </c>
      <c r="L21" s="41">
        <v>-1.38</v>
      </c>
      <c r="M21" s="43">
        <v>-0.61</v>
      </c>
      <c r="N21" s="41">
        <v>0.16583333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4.25">
      <c r="A22" s="44">
        <v>2017</v>
      </c>
      <c r="B22" s="41">
        <v>0.58</v>
      </c>
      <c r="C22" s="41">
        <v>0.04</v>
      </c>
      <c r="D22" s="43">
        <v>0.62</v>
      </c>
      <c r="E22" s="43">
        <v>0.39</v>
      </c>
      <c r="F22" s="43">
        <v>0.1</v>
      </c>
      <c r="G22" s="43">
        <v>0.27</v>
      </c>
      <c r="H22" s="41">
        <v>1.56</v>
      </c>
      <c r="I22" s="43">
        <v>0.9</v>
      </c>
      <c r="J22" s="41">
        <v>0.64</v>
      </c>
      <c r="K22" s="43">
        <v>-0.12</v>
      </c>
      <c r="L22" s="41">
        <v>-0.64</v>
      </c>
      <c r="M22" s="43">
        <v>0.36</v>
      </c>
      <c r="N22" s="41">
        <v>0.39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4.25">
      <c r="A23" s="44">
        <v>2018</v>
      </c>
      <c r="B23" s="41">
        <v>0.84</v>
      </c>
      <c r="C23" s="41">
        <v>0.61</v>
      </c>
      <c r="D23" s="43">
        <v>0.02</v>
      </c>
      <c r="E23" s="43">
        <v>0.16</v>
      </c>
      <c r="F23" s="43">
        <v>0.15</v>
      </c>
      <c r="G23" s="43">
        <v>0.63</v>
      </c>
      <c r="H23" s="41">
        <v>1.12</v>
      </c>
      <c r="I23" s="43">
        <v>0.4</v>
      </c>
      <c r="J23" s="41">
        <v>-0.26</v>
      </c>
      <c r="K23" s="43">
        <v>0.77</v>
      </c>
      <c r="L23" s="43">
        <v>1.24</v>
      </c>
      <c r="M23" s="43">
        <v>1.47</v>
      </c>
      <c r="N23" s="41">
        <v>0.6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4.25">
      <c r="A24" s="44">
        <v>2019</v>
      </c>
      <c r="B24" s="41">
        <v>1.5</v>
      </c>
      <c r="C24" s="41">
        <v>1.71</v>
      </c>
      <c r="D24" s="43">
        <v>1.15</v>
      </c>
      <c r="E24" s="43">
        <v>0.48</v>
      </c>
      <c r="F24" s="43">
        <v>0.56</v>
      </c>
      <c r="G24" s="43">
        <v>1.13</v>
      </c>
      <c r="H24" s="41">
        <v>0.47</v>
      </c>
      <c r="I24" s="43">
        <v>0.6</v>
      </c>
      <c r="J24" s="41">
        <v>-0.31</v>
      </c>
      <c r="K24" s="43">
        <v>-0.86</v>
      </c>
      <c r="L24" s="43">
        <v>-2.44</v>
      </c>
      <c r="M24" s="43">
        <v>-0.93</v>
      </c>
      <c r="N24" s="41">
        <v>0.26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4.25">
      <c r="A25" s="37">
        <v>2020</v>
      </c>
      <c r="B25" s="84">
        <v>0.89</v>
      </c>
      <c r="C25" s="84">
        <v>0.27</v>
      </c>
      <c r="D25" s="84">
        <v>0.72</v>
      </c>
      <c r="E25" s="84">
        <v>1.15</v>
      </c>
      <c r="F25" s="84">
        <v>0.59</v>
      </c>
      <c r="G25" s="84">
        <v>-7.05</v>
      </c>
      <c r="H25" s="84">
        <v>-8.02</v>
      </c>
      <c r="I25" s="84">
        <v>-2.93</v>
      </c>
      <c r="J25" s="84">
        <v>-0.27</v>
      </c>
      <c r="K25" s="84">
        <v>-6.87</v>
      </c>
      <c r="L25" s="84">
        <v>-7.4</v>
      </c>
      <c r="M25" s="84">
        <v>1.18</v>
      </c>
      <c r="N25" s="84">
        <v>-2.31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14" ht="14.25">
      <c r="A26" s="37">
        <v>2021</v>
      </c>
      <c r="B26" s="84">
        <v>-1.08</v>
      </c>
      <c r="C26" s="84">
        <v>-0.84</v>
      </c>
      <c r="D26" s="84">
        <v>-0.47</v>
      </c>
      <c r="E26" s="84">
        <v>-1.34</v>
      </c>
      <c r="F26" s="84">
        <v>-1.53</v>
      </c>
      <c r="G26" s="84">
        <v>0.6</v>
      </c>
      <c r="H26" s="84">
        <v>0.76</v>
      </c>
      <c r="I26" s="84">
        <v>0.9</v>
      </c>
      <c r="J26" s="84">
        <v>0.59</v>
      </c>
      <c r="K26" s="84">
        <v>-0.13</v>
      </c>
      <c r="L26" s="84">
        <v>0.5</v>
      </c>
      <c r="M26" s="84">
        <v>0.99</v>
      </c>
      <c r="N26" s="84">
        <v>-0.38</v>
      </c>
    </row>
    <row r="27" spans="1:14" ht="14.25">
      <c r="A27" s="28">
        <v>2022</v>
      </c>
      <c r="B27" s="84">
        <v>0.96</v>
      </c>
      <c r="C27" s="84">
        <v>1.28</v>
      </c>
      <c r="D27" s="84">
        <v>0.93</v>
      </c>
      <c r="E27" s="84">
        <v>0.49</v>
      </c>
      <c r="F27" s="84">
        <v>0.38</v>
      </c>
      <c r="G27" s="84">
        <v>1.45</v>
      </c>
      <c r="H27" s="84">
        <v>2.18</v>
      </c>
      <c r="I27" s="84">
        <v>3.23</v>
      </c>
      <c r="J27" s="84">
        <v>2.82</v>
      </c>
      <c r="K27" s="84">
        <v>1.18</v>
      </c>
      <c r="L27" s="84">
        <v>1.74</v>
      </c>
      <c r="M27" s="84">
        <v>1.31</v>
      </c>
      <c r="N27" s="84">
        <v>1.21</v>
      </c>
    </row>
    <row r="28" spans="1:14" ht="14.25">
      <c r="A28" s="28">
        <v>2023</v>
      </c>
      <c r="B28" s="84">
        <v>1.39</v>
      </c>
      <c r="C28" s="84">
        <v>1.74</v>
      </c>
      <c r="D28" s="84">
        <v>0.81</v>
      </c>
      <c r="E28" s="84">
        <v>0.44</v>
      </c>
      <c r="F28" s="84">
        <v>2.1</v>
      </c>
      <c r="G28" s="84">
        <v>2.17</v>
      </c>
      <c r="H28" s="84">
        <v>2.47</v>
      </c>
      <c r="I28" s="84">
        <v>0.88</v>
      </c>
      <c r="J28" s="84">
        <v>0.99</v>
      </c>
      <c r="K28" s="84">
        <v>2.82</v>
      </c>
      <c r="L28" s="84">
        <v>2.12</v>
      </c>
      <c r="M28" s="84">
        <v>2.16</v>
      </c>
      <c r="N28" s="84">
        <v>1.67</v>
      </c>
    </row>
    <row r="29" spans="2:14" ht="14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4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H33"/>
  <sheetViews>
    <sheetView zoomScale="90" zoomScaleNormal="90" zoomScalePageLayoutView="0" workbookViewId="0" topLeftCell="A1">
      <selection activeCell="K28" sqref="K28"/>
    </sheetView>
  </sheetViews>
  <sheetFormatPr defaultColWidth="9.140625" defaultRowHeight="12.75"/>
  <cols>
    <col min="1" max="1" width="6.7109375" style="28" customWidth="1"/>
    <col min="2" max="16384" width="9.140625" style="28" customWidth="1"/>
  </cols>
  <sheetData>
    <row r="1" ht="15.75">
      <c r="A1" s="36" t="s">
        <v>141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7"/>
      <c r="B4" s="101" t="s">
        <v>22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34" ht="14.25">
      <c r="A5" s="33">
        <v>2000</v>
      </c>
      <c r="B5" s="41">
        <v>12.9</v>
      </c>
      <c r="C5" s="41">
        <v>12.71</v>
      </c>
      <c r="D5" s="41">
        <v>12.84</v>
      </c>
      <c r="E5" s="41">
        <v>12.93</v>
      </c>
      <c r="F5" s="41">
        <v>13.48</v>
      </c>
      <c r="G5" s="41">
        <v>13.7</v>
      </c>
      <c r="H5" s="41">
        <v>14.46</v>
      </c>
      <c r="I5" s="41">
        <v>13.95</v>
      </c>
      <c r="J5" s="41">
        <v>13.84</v>
      </c>
      <c r="K5" s="41">
        <v>13.89</v>
      </c>
      <c r="L5" s="41">
        <v>13.82</v>
      </c>
      <c r="M5" s="41">
        <v>14.13</v>
      </c>
      <c r="N5" s="41">
        <f>AVERAGE(B5:M5)</f>
        <v>13.554166666666667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25">
      <c r="A6" s="32">
        <v>2001</v>
      </c>
      <c r="B6" s="41">
        <v>15.99</v>
      </c>
      <c r="C6" s="41">
        <v>13.94</v>
      </c>
      <c r="D6" s="41">
        <v>14.65</v>
      </c>
      <c r="E6" s="41">
        <v>15.44</v>
      </c>
      <c r="F6" s="41">
        <v>16.21</v>
      </c>
      <c r="G6" s="41">
        <v>16.99</v>
      </c>
      <c r="H6" s="41">
        <v>17.34</v>
      </c>
      <c r="I6" s="41">
        <v>17.4</v>
      </c>
      <c r="J6" s="41">
        <v>17.56</v>
      </c>
      <c r="K6" s="41">
        <v>17.93</v>
      </c>
      <c r="L6" s="41">
        <v>17.76</v>
      </c>
      <c r="M6" s="41">
        <v>13.98</v>
      </c>
      <c r="N6" s="41">
        <f aca="true" t="shared" si="0" ref="N6:N27">AVERAGE(B6:M6)</f>
        <v>16.26583333333333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14.25">
      <c r="A7" s="33">
        <v>2002</v>
      </c>
      <c r="B7" s="41">
        <v>13.96</v>
      </c>
      <c r="C7" s="41">
        <v>13.95</v>
      </c>
      <c r="D7" s="41">
        <v>13.62</v>
      </c>
      <c r="E7" s="41">
        <v>13.47</v>
      </c>
      <c r="F7" s="41">
        <v>13.26</v>
      </c>
      <c r="G7" s="41">
        <v>13.03</v>
      </c>
      <c r="H7" s="41">
        <v>12.62</v>
      </c>
      <c r="I7" s="41">
        <v>12.48</v>
      </c>
      <c r="J7" s="41">
        <v>12.46</v>
      </c>
      <c r="K7" s="41">
        <v>12.15</v>
      </c>
      <c r="L7" s="41">
        <v>12.6</v>
      </c>
      <c r="M7" s="41">
        <v>12.52</v>
      </c>
      <c r="N7" s="41">
        <f t="shared" si="0"/>
        <v>13.010000000000003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14.25">
      <c r="A8" s="32">
        <v>2003</v>
      </c>
      <c r="B8" s="41">
        <v>12.56</v>
      </c>
      <c r="C8" s="41">
        <v>12.23</v>
      </c>
      <c r="D8" s="41">
        <v>11.81</v>
      </c>
      <c r="E8" s="41">
        <v>11.64</v>
      </c>
      <c r="F8" s="41">
        <v>11.71</v>
      </c>
      <c r="G8" s="41">
        <v>11.74</v>
      </c>
      <c r="H8" s="41">
        <v>11.77</v>
      </c>
      <c r="I8" s="41">
        <v>12.97</v>
      </c>
      <c r="J8" s="41">
        <v>15.71</v>
      </c>
      <c r="K8" s="41">
        <v>16.27</v>
      </c>
      <c r="L8" s="41">
        <v>16.37</v>
      </c>
      <c r="M8" s="41">
        <v>15.84</v>
      </c>
      <c r="N8" s="41">
        <f t="shared" si="0"/>
        <v>13.385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14.25">
      <c r="A9" s="33">
        <v>2004</v>
      </c>
      <c r="B9" s="41">
        <v>13.85</v>
      </c>
      <c r="C9" s="41">
        <v>13.59</v>
      </c>
      <c r="D9" s="41">
        <v>13.94</v>
      </c>
      <c r="E9" s="41">
        <v>15.64</v>
      </c>
      <c r="F9" s="41">
        <v>21.65</v>
      </c>
      <c r="G9" s="41">
        <v>23.13</v>
      </c>
      <c r="H9" s="41">
        <v>19.95</v>
      </c>
      <c r="I9" s="41">
        <v>16.62</v>
      </c>
      <c r="J9" s="41">
        <v>15.94</v>
      </c>
      <c r="K9" s="41">
        <v>16.78</v>
      </c>
      <c r="L9" s="41">
        <v>16.29</v>
      </c>
      <c r="M9" s="41">
        <v>16.43</v>
      </c>
      <c r="N9" s="41">
        <f t="shared" si="0"/>
        <v>16.984166666666663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4.25">
      <c r="A10" s="32">
        <v>2005</v>
      </c>
      <c r="B10" s="41">
        <v>18.65</v>
      </c>
      <c r="C10" s="41">
        <v>15.79</v>
      </c>
      <c r="D10" s="41">
        <v>17.43</v>
      </c>
      <c r="E10" s="41">
        <v>16.13</v>
      </c>
      <c r="F10" s="41">
        <v>16.8</v>
      </c>
      <c r="G10" s="41">
        <v>15.62</v>
      </c>
      <c r="H10" s="41">
        <v>15.89</v>
      </c>
      <c r="I10" s="41">
        <v>16.44</v>
      </c>
      <c r="J10" s="41">
        <v>15.7</v>
      </c>
      <c r="K10" s="41">
        <v>16.27</v>
      </c>
      <c r="L10" s="41">
        <v>16.56</v>
      </c>
      <c r="M10" s="41">
        <v>15.57</v>
      </c>
      <c r="N10" s="41">
        <f t="shared" si="0"/>
        <v>16.404166666666665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14.25">
      <c r="A11" s="33">
        <v>2006</v>
      </c>
      <c r="B11" s="41">
        <v>15.38</v>
      </c>
      <c r="C11" s="41">
        <v>15.38</v>
      </c>
      <c r="D11" s="41">
        <v>14.49</v>
      </c>
      <c r="E11" s="41">
        <v>13.22</v>
      </c>
      <c r="F11" s="41">
        <v>12.97</v>
      </c>
      <c r="G11" s="41">
        <v>12.75</v>
      </c>
      <c r="H11" s="41">
        <v>13.34</v>
      </c>
      <c r="I11" s="41">
        <v>12.97</v>
      </c>
      <c r="J11" s="41">
        <v>12.85</v>
      </c>
      <c r="K11" s="41">
        <v>14.42</v>
      </c>
      <c r="L11" s="41">
        <v>14.4</v>
      </c>
      <c r="M11" s="41">
        <v>14.43</v>
      </c>
      <c r="N11" s="41">
        <f t="shared" si="0"/>
        <v>13.883333333333333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1:34" ht="14.25">
      <c r="A12" s="33">
        <v>2007</v>
      </c>
      <c r="B12" s="41">
        <v>15.59</v>
      </c>
      <c r="C12" s="41">
        <v>15.39</v>
      </c>
      <c r="D12" s="41">
        <v>16.25</v>
      </c>
      <c r="E12" s="41">
        <v>17</v>
      </c>
      <c r="F12" s="41">
        <v>17.92</v>
      </c>
      <c r="G12" s="41">
        <v>19.84</v>
      </c>
      <c r="H12" s="41">
        <v>22.91</v>
      </c>
      <c r="I12" s="41">
        <v>23.76</v>
      </c>
      <c r="J12" s="41">
        <v>23.91</v>
      </c>
      <c r="K12" s="41">
        <v>23.59</v>
      </c>
      <c r="L12" s="41">
        <v>23.45</v>
      </c>
      <c r="M12" s="41">
        <v>22.04</v>
      </c>
      <c r="N12" s="41">
        <f t="shared" si="0"/>
        <v>20.1375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ht="14.25">
      <c r="A13" s="33">
        <v>2008</v>
      </c>
      <c r="B13" s="41">
        <v>22.97</v>
      </c>
      <c r="C13" s="41">
        <v>21.68</v>
      </c>
      <c r="D13" s="41">
        <v>18.7</v>
      </c>
      <c r="E13" s="41">
        <v>20.61</v>
      </c>
      <c r="F13" s="41">
        <v>18.62</v>
      </c>
      <c r="G13" s="41">
        <v>20.18</v>
      </c>
      <c r="H13" s="41">
        <v>22.78</v>
      </c>
      <c r="I13" s="41">
        <v>20.47</v>
      </c>
      <c r="J13" s="41">
        <v>19.65</v>
      </c>
      <c r="K13" s="41">
        <v>17.53</v>
      </c>
      <c r="L13" s="41">
        <v>19.33</v>
      </c>
      <c r="M13" s="41">
        <v>17.43</v>
      </c>
      <c r="N13" s="41">
        <f t="shared" si="0"/>
        <v>19.995833333333334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ht="14.25">
      <c r="A14" s="32">
        <v>2009</v>
      </c>
      <c r="B14" s="41">
        <v>17.74</v>
      </c>
      <c r="C14" s="41">
        <v>12.72</v>
      </c>
      <c r="D14" s="41">
        <v>11.43</v>
      </c>
      <c r="E14" s="41">
        <v>12.36</v>
      </c>
      <c r="F14" s="41">
        <v>12.97</v>
      </c>
      <c r="G14" s="41">
        <v>12.08</v>
      </c>
      <c r="H14" s="41">
        <v>12.26</v>
      </c>
      <c r="I14" s="41">
        <v>12.04</v>
      </c>
      <c r="J14" s="41">
        <v>12.93</v>
      </c>
      <c r="K14" s="41">
        <v>14.35</v>
      </c>
      <c r="L14" s="41">
        <v>14.86</v>
      </c>
      <c r="M14" s="41">
        <v>15.99</v>
      </c>
      <c r="N14" s="41">
        <f t="shared" si="0"/>
        <v>13.477500000000001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ht="14.25">
      <c r="A15" s="33">
        <v>2010</v>
      </c>
      <c r="B15" s="41">
        <v>17.03</v>
      </c>
      <c r="C15" s="41">
        <v>16.84</v>
      </c>
      <c r="D15" s="41">
        <v>16.34</v>
      </c>
      <c r="E15" s="41">
        <v>15.22</v>
      </c>
      <c r="F15" s="41">
        <v>15.8</v>
      </c>
      <c r="G15" s="41">
        <v>17.28</v>
      </c>
      <c r="H15" s="41">
        <v>17.66</v>
      </c>
      <c r="I15" s="41">
        <v>17.77</v>
      </c>
      <c r="J15" s="41">
        <v>17.5</v>
      </c>
      <c r="K15" s="41">
        <v>18.58</v>
      </c>
      <c r="L15" s="41">
        <v>19.24</v>
      </c>
      <c r="M15" s="41">
        <v>18.96</v>
      </c>
      <c r="N15" s="41">
        <f t="shared" si="0"/>
        <v>17.351666666666667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14.25">
      <c r="A16" s="32">
        <v>2011</v>
      </c>
      <c r="B16" s="41">
        <v>17.2</v>
      </c>
      <c r="C16" s="41">
        <v>17.89</v>
      </c>
      <c r="D16" s="41">
        <v>20.23</v>
      </c>
      <c r="E16" s="41">
        <v>21.43</v>
      </c>
      <c r="F16" s="41">
        <v>21.75</v>
      </c>
      <c r="G16" s="41">
        <v>22.32</v>
      </c>
      <c r="H16" s="41">
        <v>23.03</v>
      </c>
      <c r="I16" s="41">
        <v>23.43</v>
      </c>
      <c r="J16" s="41">
        <v>23.78</v>
      </c>
      <c r="K16" s="41">
        <v>21.56</v>
      </c>
      <c r="L16" s="41">
        <v>20.45</v>
      </c>
      <c r="M16" s="41">
        <v>20.47</v>
      </c>
      <c r="N16" s="41">
        <f t="shared" si="0"/>
        <v>21.128333333333334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ht="14.25">
      <c r="A17" s="33">
        <v>2012</v>
      </c>
      <c r="B17" s="41">
        <v>20.8</v>
      </c>
      <c r="C17" s="41">
        <v>19.03</v>
      </c>
      <c r="D17" s="41">
        <v>18.3</v>
      </c>
      <c r="E17" s="41">
        <v>17.66</v>
      </c>
      <c r="F17" s="41">
        <v>17.85</v>
      </c>
      <c r="G17" s="41">
        <v>17.24</v>
      </c>
      <c r="H17" s="41">
        <v>17.51</v>
      </c>
      <c r="I17" s="41">
        <v>18.55</v>
      </c>
      <c r="J17" s="41">
        <v>19.59</v>
      </c>
      <c r="K17" s="41">
        <v>20.88</v>
      </c>
      <c r="L17" s="41">
        <v>22.7</v>
      </c>
      <c r="M17" s="41">
        <v>23.39</v>
      </c>
      <c r="N17" s="41">
        <f t="shared" si="0"/>
        <v>19.458333333333332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4.25">
      <c r="A18" s="32">
        <v>2013</v>
      </c>
      <c r="B18" s="41">
        <v>20.97</v>
      </c>
      <c r="C18" s="41">
        <v>20.21</v>
      </c>
      <c r="D18" s="41">
        <v>19.8</v>
      </c>
      <c r="E18" s="41">
        <v>19.66</v>
      </c>
      <c r="F18" s="41">
        <v>19.76</v>
      </c>
      <c r="G18" s="41">
        <v>20.93</v>
      </c>
      <c r="H18" s="41">
        <v>20.91</v>
      </c>
      <c r="I18" s="41">
        <v>20.88</v>
      </c>
      <c r="J18" s="41">
        <v>21.16</v>
      </c>
      <c r="K18" s="41">
        <v>21.2</v>
      </c>
      <c r="L18" s="41">
        <v>22.2</v>
      </c>
      <c r="M18" s="41">
        <v>22.37</v>
      </c>
      <c r="N18" s="41">
        <f t="shared" si="0"/>
        <v>20.8375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14.25">
      <c r="A19" s="33">
        <v>2014</v>
      </c>
      <c r="B19" s="41">
        <v>23.48</v>
      </c>
      <c r="C19" s="41">
        <v>24.02</v>
      </c>
      <c r="D19" s="41">
        <v>25.64</v>
      </c>
      <c r="E19" s="41">
        <v>25.65</v>
      </c>
      <c r="F19" s="41">
        <v>26.47</v>
      </c>
      <c r="G19" s="41">
        <v>24.86</v>
      </c>
      <c r="H19" s="41">
        <v>25.02</v>
      </c>
      <c r="I19" s="41">
        <v>25.87</v>
      </c>
      <c r="J19" s="41">
        <v>25.63</v>
      </c>
      <c r="K19" s="41">
        <v>26.19</v>
      </c>
      <c r="L19" s="41">
        <v>26.06</v>
      </c>
      <c r="M19" s="41">
        <v>24.53</v>
      </c>
      <c r="N19" s="41">
        <f t="shared" si="0"/>
        <v>25.284999999999997</v>
      </c>
      <c r="O19" s="42"/>
      <c r="P19" s="42"/>
      <c r="Q19" s="75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4.25">
      <c r="A20" s="32">
        <v>2015</v>
      </c>
      <c r="B20" s="41">
        <v>20.58</v>
      </c>
      <c r="C20" s="41">
        <v>18.24</v>
      </c>
      <c r="D20" s="41">
        <v>17.56</v>
      </c>
      <c r="E20" s="41">
        <v>17.5</v>
      </c>
      <c r="F20" s="41">
        <v>17.83</v>
      </c>
      <c r="G20" s="41">
        <v>18.14</v>
      </c>
      <c r="H20" s="41">
        <v>18.53</v>
      </c>
      <c r="I20" s="41">
        <v>18.28</v>
      </c>
      <c r="J20" s="41">
        <v>18.34</v>
      </c>
      <c r="K20" s="41">
        <v>17.84</v>
      </c>
      <c r="L20" s="41">
        <v>18.48</v>
      </c>
      <c r="M20" s="41">
        <v>18.71</v>
      </c>
      <c r="N20" s="41">
        <f t="shared" si="0"/>
        <v>18.335833333333333</v>
      </c>
      <c r="O20" s="42"/>
      <c r="P20" s="42"/>
      <c r="Q20" s="76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4.25">
      <c r="A21" s="33">
        <v>2016</v>
      </c>
      <c r="B21" s="41">
        <v>18.04</v>
      </c>
      <c r="C21" s="41">
        <v>15.64</v>
      </c>
      <c r="D21" s="41">
        <v>15.78</v>
      </c>
      <c r="E21" s="41">
        <v>15.74</v>
      </c>
      <c r="F21" s="41">
        <v>15.7</v>
      </c>
      <c r="G21" s="41">
        <v>15.14</v>
      </c>
      <c r="H21" s="41">
        <v>15.7</v>
      </c>
      <c r="I21" s="41">
        <v>17.07</v>
      </c>
      <c r="J21" s="41">
        <v>18.56</v>
      </c>
      <c r="K21" s="41">
        <v>18.6</v>
      </c>
      <c r="L21" s="41">
        <v>16.78</v>
      </c>
      <c r="M21" s="41">
        <v>18.88</v>
      </c>
      <c r="N21" s="41">
        <f t="shared" si="0"/>
        <v>16.8025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4.25">
      <c r="A22" s="32">
        <v>2017</v>
      </c>
      <c r="B22" s="41">
        <v>19.45</v>
      </c>
      <c r="C22" s="41">
        <v>18.73</v>
      </c>
      <c r="D22" s="41">
        <v>18.9</v>
      </c>
      <c r="E22" s="41">
        <v>18.05</v>
      </c>
      <c r="F22" s="41">
        <v>17.2</v>
      </c>
      <c r="G22" s="41">
        <v>17.31</v>
      </c>
      <c r="H22" s="41">
        <v>18.59</v>
      </c>
      <c r="I22" s="41">
        <v>18.72</v>
      </c>
      <c r="J22" s="41">
        <v>18.71</v>
      </c>
      <c r="K22" s="41">
        <v>18.44</v>
      </c>
      <c r="L22" s="41">
        <v>18.41</v>
      </c>
      <c r="M22" s="41">
        <v>18.88</v>
      </c>
      <c r="N22" s="41">
        <f t="shared" si="0"/>
        <v>18.449166666666667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4.25">
      <c r="A23" s="32">
        <v>2018</v>
      </c>
      <c r="B23" s="41">
        <v>17.44</v>
      </c>
      <c r="C23" s="41">
        <v>16.25</v>
      </c>
      <c r="D23" s="41">
        <v>15.36</v>
      </c>
      <c r="E23" s="41">
        <v>16.1</v>
      </c>
      <c r="F23" s="41">
        <v>16.44</v>
      </c>
      <c r="G23" s="41">
        <v>17.25</v>
      </c>
      <c r="H23" s="41">
        <v>17.36</v>
      </c>
      <c r="I23" s="41">
        <v>16.15</v>
      </c>
      <c r="J23" s="41">
        <v>16.85</v>
      </c>
      <c r="K23" s="41">
        <v>18.33</v>
      </c>
      <c r="L23" s="41">
        <v>17.52</v>
      </c>
      <c r="M23" s="41">
        <v>17.05</v>
      </c>
      <c r="N23" s="41">
        <f t="shared" si="0"/>
        <v>16.841666666666665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4.25">
      <c r="A24" s="32">
        <v>2019</v>
      </c>
      <c r="B24" s="41">
        <v>17.12</v>
      </c>
      <c r="C24" s="41">
        <v>17.3</v>
      </c>
      <c r="D24" s="41">
        <v>17.98</v>
      </c>
      <c r="E24" s="41">
        <v>17.76</v>
      </c>
      <c r="F24" s="41">
        <v>18.42</v>
      </c>
      <c r="G24" s="41">
        <v>19.07</v>
      </c>
      <c r="H24" s="41">
        <v>19.18</v>
      </c>
      <c r="I24" s="41">
        <v>19.89</v>
      </c>
      <c r="J24" s="41">
        <v>19.85</v>
      </c>
      <c r="K24" s="41">
        <v>19.84</v>
      </c>
      <c r="L24" s="41">
        <v>20.14</v>
      </c>
      <c r="M24" s="41">
        <v>21.33</v>
      </c>
      <c r="N24" s="41">
        <f t="shared" si="0"/>
        <v>18.99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4.25">
      <c r="A25" s="34">
        <v>2020</v>
      </c>
      <c r="B25" s="84">
        <v>21.01</v>
      </c>
      <c r="C25" s="84">
        <v>19.55</v>
      </c>
      <c r="D25" s="84">
        <v>19.46</v>
      </c>
      <c r="E25" s="84">
        <v>18.64</v>
      </c>
      <c r="F25" s="84">
        <v>14.95</v>
      </c>
      <c r="G25" s="84">
        <v>13.42</v>
      </c>
      <c r="H25" s="84">
        <v>18.56</v>
      </c>
      <c r="I25" s="84">
        <v>21.78</v>
      </c>
      <c r="J25" s="84">
        <v>20.44</v>
      </c>
      <c r="K25" s="84">
        <v>17.2</v>
      </c>
      <c r="L25" s="84">
        <v>20.04</v>
      </c>
      <c r="M25" s="84">
        <v>21.87</v>
      </c>
      <c r="N25" s="41">
        <f t="shared" si="0"/>
        <v>18.91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14" ht="14.25">
      <c r="A26" s="34">
        <v>2021</v>
      </c>
      <c r="B26" s="84">
        <v>17.14</v>
      </c>
      <c r="C26" s="84">
        <v>17.54</v>
      </c>
      <c r="D26" s="84">
        <v>17.2</v>
      </c>
      <c r="E26" s="84">
        <v>17.51</v>
      </c>
      <c r="F26" s="84">
        <v>19.1</v>
      </c>
      <c r="G26" s="84">
        <v>20.29</v>
      </c>
      <c r="H26" s="84">
        <v>19.42</v>
      </c>
      <c r="I26" s="84">
        <v>18.9</v>
      </c>
      <c r="J26" s="84">
        <v>18.59</v>
      </c>
      <c r="K26" s="84">
        <v>19.08</v>
      </c>
      <c r="L26" s="84">
        <v>19.98</v>
      </c>
      <c r="M26" s="84">
        <v>21.17</v>
      </c>
      <c r="N26" s="41">
        <f t="shared" si="0"/>
        <v>18.826666666666664</v>
      </c>
    </row>
    <row r="27" spans="1:14" ht="14.25">
      <c r="A27" s="34">
        <v>2022</v>
      </c>
      <c r="B27" s="84">
        <v>21.71</v>
      </c>
      <c r="C27" s="84">
        <v>23.64</v>
      </c>
      <c r="D27" s="84">
        <v>24.88</v>
      </c>
      <c r="E27" s="84">
        <v>26.38</v>
      </c>
      <c r="F27" s="84">
        <v>27.45</v>
      </c>
      <c r="G27" s="84">
        <v>27.87</v>
      </c>
      <c r="H27" s="84">
        <v>27.87</v>
      </c>
      <c r="I27" s="84">
        <v>27.13</v>
      </c>
      <c r="J27" s="84">
        <v>25.62</v>
      </c>
      <c r="K27" s="84">
        <v>24.71</v>
      </c>
      <c r="L27" s="84">
        <v>26.09</v>
      </c>
      <c r="M27" s="84">
        <v>24.58</v>
      </c>
      <c r="N27" s="41">
        <f t="shared" si="0"/>
        <v>25.66083333333333</v>
      </c>
    </row>
    <row r="28" spans="1:14" ht="14.25">
      <c r="A28" s="34">
        <v>2023</v>
      </c>
      <c r="B28" s="84">
        <v>24.41</v>
      </c>
      <c r="C28" s="84">
        <v>22.78</v>
      </c>
      <c r="D28" s="84">
        <v>20.99</v>
      </c>
      <c r="E28" s="84">
        <v>20.85</v>
      </c>
      <c r="F28" s="84">
        <v>21.57</v>
      </c>
      <c r="G28" s="84">
        <v>20.01</v>
      </c>
      <c r="H28" s="84">
        <v>19.32</v>
      </c>
      <c r="I28" s="84">
        <v>18.62</v>
      </c>
      <c r="J28" s="84">
        <v>20.9</v>
      </c>
      <c r="K28" s="84">
        <v>21.47</v>
      </c>
      <c r="L28" s="84">
        <v>21.75</v>
      </c>
      <c r="M28" s="84">
        <v>21.76</v>
      </c>
      <c r="N28" s="41">
        <f>AVERAGE(B28:M28)</f>
        <v>21.202499999999997</v>
      </c>
    </row>
    <row r="30" ht="14.25">
      <c r="P30" s="77"/>
    </row>
    <row r="31" spans="1:16" ht="14.25">
      <c r="A31" s="28" t="s">
        <v>100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P31" s="77"/>
    </row>
    <row r="32" spans="1:16" ht="14.25">
      <c r="A32" s="28" t="s">
        <v>23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P32" s="77"/>
    </row>
    <row r="33" spans="1:14" ht="14.25">
      <c r="A33" s="28" t="s">
        <v>24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P33"/>
  <sheetViews>
    <sheetView zoomScale="90" zoomScaleNormal="90" zoomScalePageLayoutView="0" workbookViewId="0" topLeftCell="A1">
      <selection activeCell="N29" sqref="N29"/>
    </sheetView>
  </sheetViews>
  <sheetFormatPr defaultColWidth="9.140625" defaultRowHeight="12.75"/>
  <cols>
    <col min="1" max="1" width="6.7109375" style="55" customWidth="1"/>
    <col min="2" max="2" width="8.140625" style="55" customWidth="1"/>
    <col min="3" max="6" width="9.140625" style="55" customWidth="1"/>
    <col min="7" max="7" width="8.140625" style="55" customWidth="1"/>
    <col min="8" max="9" width="9.140625" style="55" customWidth="1"/>
    <col min="10" max="10" width="8.140625" style="55" customWidth="1"/>
    <col min="11" max="11" width="9.140625" style="55" customWidth="1"/>
    <col min="12" max="12" width="7.421875" style="56" customWidth="1"/>
    <col min="13" max="16384" width="9.140625" style="55" customWidth="1"/>
  </cols>
  <sheetData>
    <row r="1" ht="15.75">
      <c r="A1" s="66" t="s">
        <v>124</v>
      </c>
    </row>
    <row r="3" spans="1:14" ht="14.25">
      <c r="A3" s="65" t="s">
        <v>19</v>
      </c>
      <c r="B3" s="65" t="s">
        <v>18</v>
      </c>
      <c r="C3" s="65" t="s">
        <v>17</v>
      </c>
      <c r="D3" s="65" t="s">
        <v>16</v>
      </c>
      <c r="E3" s="65" t="s">
        <v>15</v>
      </c>
      <c r="F3" s="65" t="s">
        <v>14</v>
      </c>
      <c r="G3" s="65" t="s">
        <v>13</v>
      </c>
      <c r="H3" s="65" t="s">
        <v>12</v>
      </c>
      <c r="I3" s="65" t="s">
        <v>11</v>
      </c>
      <c r="J3" s="65" t="s">
        <v>10</v>
      </c>
      <c r="K3" s="65" t="s">
        <v>9</v>
      </c>
      <c r="L3" s="65" t="s">
        <v>8</v>
      </c>
      <c r="M3" s="65" t="s">
        <v>7</v>
      </c>
      <c r="N3" s="65" t="s">
        <v>20</v>
      </c>
    </row>
    <row r="4" spans="1:14" ht="14.25">
      <c r="A4" s="64"/>
      <c r="B4" s="102" t="s">
        <v>22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6" ht="14.25">
      <c r="A5" s="59">
        <v>2000</v>
      </c>
      <c r="B5" s="60">
        <v>9.72</v>
      </c>
      <c r="C5" s="60">
        <v>9.72</v>
      </c>
      <c r="D5" s="60">
        <v>9.71</v>
      </c>
      <c r="E5" s="63">
        <v>9.7</v>
      </c>
      <c r="F5" s="63">
        <v>9.7</v>
      </c>
      <c r="G5" s="61">
        <v>9.7</v>
      </c>
      <c r="H5" s="63">
        <v>9.71</v>
      </c>
      <c r="I5" s="63">
        <v>9.7</v>
      </c>
      <c r="J5" s="63">
        <v>9.7</v>
      </c>
      <c r="K5" s="63">
        <v>9.76</v>
      </c>
      <c r="L5" s="63">
        <v>9.74</v>
      </c>
      <c r="M5" s="63">
        <v>9.75</v>
      </c>
      <c r="N5" s="60">
        <f>AVERAGE(B5:M5)</f>
        <v>9.717500000000001</v>
      </c>
      <c r="O5" s="59"/>
      <c r="P5" s="59"/>
    </row>
    <row r="6" spans="1:16" ht="14.25">
      <c r="A6" s="62">
        <v>2001</v>
      </c>
      <c r="B6" s="60">
        <v>9.88</v>
      </c>
      <c r="C6" s="60">
        <v>9.89</v>
      </c>
      <c r="D6" s="60">
        <v>9.86</v>
      </c>
      <c r="E6" s="63">
        <v>9.86</v>
      </c>
      <c r="F6" s="63">
        <v>9.88</v>
      </c>
      <c r="G6" s="61">
        <v>9.9</v>
      </c>
      <c r="H6" s="63">
        <v>9.88</v>
      </c>
      <c r="I6" s="63">
        <v>9.9</v>
      </c>
      <c r="J6" s="63">
        <v>9.99</v>
      </c>
      <c r="K6" s="63">
        <v>9.38</v>
      </c>
      <c r="L6" s="63">
        <v>11.6</v>
      </c>
      <c r="M6" s="63">
        <v>9.15</v>
      </c>
      <c r="N6" s="60">
        <f aca="true" t="shared" si="0" ref="N6:N27">AVERAGE(B6:M6)</f>
        <v>9.930833333333334</v>
      </c>
      <c r="O6" s="59"/>
      <c r="P6" s="59"/>
    </row>
    <row r="7" spans="1:16" ht="14.25">
      <c r="A7" s="59">
        <v>2002</v>
      </c>
      <c r="B7" s="60">
        <v>9.34</v>
      </c>
      <c r="C7" s="60">
        <v>8.99</v>
      </c>
      <c r="D7" s="60">
        <v>9.1</v>
      </c>
      <c r="E7" s="63">
        <v>8.91</v>
      </c>
      <c r="F7" s="63">
        <v>8.83</v>
      </c>
      <c r="G7" s="61">
        <v>9.23</v>
      </c>
      <c r="H7" s="63">
        <v>8.85</v>
      </c>
      <c r="I7" s="63">
        <v>8.86</v>
      </c>
      <c r="J7" s="63">
        <v>8.92</v>
      </c>
      <c r="K7" s="63">
        <v>8.91</v>
      </c>
      <c r="L7" s="63">
        <v>9.2</v>
      </c>
      <c r="M7" s="63">
        <v>8.99</v>
      </c>
      <c r="N7" s="60">
        <f t="shared" si="0"/>
        <v>9.010833333333334</v>
      </c>
      <c r="O7" s="59"/>
      <c r="P7" s="59"/>
    </row>
    <row r="8" spans="1:16" ht="14.25">
      <c r="A8" s="62">
        <v>2003</v>
      </c>
      <c r="B8" s="60">
        <v>8.67</v>
      </c>
      <c r="C8" s="61">
        <v>8.2</v>
      </c>
      <c r="D8" s="61">
        <v>8.04</v>
      </c>
      <c r="E8" s="61">
        <v>7.92</v>
      </c>
      <c r="F8" s="61">
        <v>7.91</v>
      </c>
      <c r="G8" s="61">
        <v>7.92</v>
      </c>
      <c r="H8" s="61">
        <v>7.92</v>
      </c>
      <c r="I8" s="63">
        <v>9.07</v>
      </c>
      <c r="J8" s="63">
        <v>11.51</v>
      </c>
      <c r="K8" s="63">
        <v>12.43</v>
      </c>
      <c r="L8" s="63">
        <v>12.33</v>
      </c>
      <c r="M8" s="63">
        <v>11.7</v>
      </c>
      <c r="N8" s="60">
        <f t="shared" si="0"/>
        <v>9.468333333333334</v>
      </c>
      <c r="O8" s="59"/>
      <c r="P8" s="59"/>
    </row>
    <row r="9" spans="1:16" ht="14.25">
      <c r="A9" s="59">
        <v>2004</v>
      </c>
      <c r="B9" s="60">
        <v>9.46</v>
      </c>
      <c r="C9" s="61">
        <v>8.55</v>
      </c>
      <c r="D9" s="61">
        <v>7.96</v>
      </c>
      <c r="E9" s="61">
        <v>7.96</v>
      </c>
      <c r="F9" s="60">
        <v>13.5</v>
      </c>
      <c r="G9" s="61">
        <v>14.98</v>
      </c>
      <c r="H9" s="60">
        <v>12.95</v>
      </c>
      <c r="I9" s="60">
        <v>9.55</v>
      </c>
      <c r="J9" s="60">
        <v>9.96</v>
      </c>
      <c r="K9" s="60">
        <v>10.53</v>
      </c>
      <c r="L9" s="60">
        <v>9.81</v>
      </c>
      <c r="M9" s="60">
        <v>10.12</v>
      </c>
      <c r="N9" s="60">
        <f t="shared" si="0"/>
        <v>10.444166666666668</v>
      </c>
      <c r="O9" s="59"/>
      <c r="P9" s="59"/>
    </row>
    <row r="10" spans="1:16" ht="14.25">
      <c r="A10" s="62">
        <v>2005</v>
      </c>
      <c r="B10" s="60">
        <v>11.7</v>
      </c>
      <c r="C10" s="60">
        <v>9.97</v>
      </c>
      <c r="D10" s="60">
        <v>11.59</v>
      </c>
      <c r="E10" s="60">
        <v>10.35</v>
      </c>
      <c r="F10" s="60">
        <v>11.14</v>
      </c>
      <c r="G10" s="61">
        <v>10.58</v>
      </c>
      <c r="H10" s="60">
        <v>10.73</v>
      </c>
      <c r="I10" s="60">
        <v>10.29</v>
      </c>
      <c r="J10" s="60">
        <v>9.71</v>
      </c>
      <c r="K10" s="60">
        <v>9.96</v>
      </c>
      <c r="L10" s="60">
        <v>10.48</v>
      </c>
      <c r="M10" s="60">
        <v>10.03</v>
      </c>
      <c r="N10" s="60">
        <f t="shared" si="0"/>
        <v>10.544166666666671</v>
      </c>
      <c r="O10" s="59"/>
      <c r="P10" s="59"/>
    </row>
    <row r="11" spans="1:16" ht="14.25">
      <c r="A11" s="59">
        <v>2006</v>
      </c>
      <c r="B11" s="60">
        <v>10.42</v>
      </c>
      <c r="C11" s="60">
        <v>10.51</v>
      </c>
      <c r="D11" s="60">
        <v>9.95</v>
      </c>
      <c r="E11" s="60">
        <v>9.02</v>
      </c>
      <c r="F11" s="60">
        <v>8.9</v>
      </c>
      <c r="G11" s="61">
        <v>8.57</v>
      </c>
      <c r="H11" s="60">
        <v>9.24</v>
      </c>
      <c r="I11" s="60">
        <v>8.96</v>
      </c>
      <c r="J11" s="60">
        <v>8.64</v>
      </c>
      <c r="K11" s="60">
        <v>9.72</v>
      </c>
      <c r="L11" s="60">
        <v>9.77</v>
      </c>
      <c r="M11" s="60">
        <v>9.89</v>
      </c>
      <c r="N11" s="60">
        <f t="shared" si="0"/>
        <v>9.465833333333332</v>
      </c>
      <c r="O11" s="59"/>
      <c r="P11" s="59"/>
    </row>
    <row r="12" spans="1:16" ht="14.25">
      <c r="A12" s="59">
        <v>2007</v>
      </c>
      <c r="B12" s="60">
        <v>11.17</v>
      </c>
      <c r="C12" s="60">
        <v>11.19</v>
      </c>
      <c r="D12" s="60">
        <v>12</v>
      </c>
      <c r="E12" s="60">
        <v>12.5</v>
      </c>
      <c r="F12" s="60">
        <v>13.28</v>
      </c>
      <c r="G12" s="61">
        <v>14.88</v>
      </c>
      <c r="H12" s="60">
        <v>17.61</v>
      </c>
      <c r="I12" s="60">
        <v>18.74</v>
      </c>
      <c r="J12" s="60">
        <v>18.76</v>
      </c>
      <c r="K12" s="60">
        <v>18.86</v>
      </c>
      <c r="L12" s="60">
        <v>19.04</v>
      </c>
      <c r="M12" s="60">
        <v>17.65</v>
      </c>
      <c r="N12" s="60">
        <f t="shared" si="0"/>
        <v>15.473333333333334</v>
      </c>
      <c r="O12" s="59"/>
      <c r="P12" s="59"/>
    </row>
    <row r="13" spans="1:16" ht="14.25">
      <c r="A13" s="59">
        <v>2008</v>
      </c>
      <c r="B13" s="60">
        <v>18.53</v>
      </c>
      <c r="C13" s="60">
        <v>17.44</v>
      </c>
      <c r="D13" s="60">
        <v>14.54</v>
      </c>
      <c r="E13" s="60">
        <v>16.39</v>
      </c>
      <c r="F13" s="60">
        <v>13.9</v>
      </c>
      <c r="G13" s="61">
        <v>15.17</v>
      </c>
      <c r="H13" s="60">
        <v>17.7</v>
      </c>
      <c r="I13" s="60">
        <v>15.05</v>
      </c>
      <c r="J13" s="60">
        <v>13.98</v>
      </c>
      <c r="K13" s="60">
        <v>11.76</v>
      </c>
      <c r="L13" s="60">
        <v>13.29</v>
      </c>
      <c r="M13" s="60">
        <v>11.49</v>
      </c>
      <c r="N13" s="60">
        <f t="shared" si="0"/>
        <v>14.936666666666667</v>
      </c>
      <c r="O13" s="59"/>
      <c r="P13" s="59"/>
    </row>
    <row r="14" spans="1:16" ht="14.25">
      <c r="A14" s="62">
        <v>2009</v>
      </c>
      <c r="B14" s="60">
        <v>13.24</v>
      </c>
      <c r="C14" s="60">
        <v>9.07</v>
      </c>
      <c r="D14" s="60">
        <v>7.81</v>
      </c>
      <c r="E14" s="60">
        <v>8.56</v>
      </c>
      <c r="F14" s="60">
        <v>9.01</v>
      </c>
      <c r="G14" s="61">
        <v>7.91</v>
      </c>
      <c r="H14" s="60">
        <v>8.03</v>
      </c>
      <c r="I14" s="60">
        <v>8</v>
      </c>
      <c r="J14" s="60">
        <v>8.74</v>
      </c>
      <c r="K14" s="60">
        <v>10.43</v>
      </c>
      <c r="L14" s="60">
        <v>10.7</v>
      </c>
      <c r="M14" s="60">
        <v>11.31</v>
      </c>
      <c r="N14" s="60">
        <f t="shared" si="0"/>
        <v>9.400833333333333</v>
      </c>
      <c r="O14" s="59"/>
      <c r="P14" s="59"/>
    </row>
    <row r="15" spans="1:16" ht="14.25">
      <c r="A15" s="59">
        <v>2010</v>
      </c>
      <c r="B15" s="60">
        <v>11.82</v>
      </c>
      <c r="C15" s="60">
        <v>12.27</v>
      </c>
      <c r="D15" s="60">
        <v>11.6</v>
      </c>
      <c r="E15" s="60">
        <v>10.19</v>
      </c>
      <c r="F15" s="60">
        <v>10.53</v>
      </c>
      <c r="G15" s="61">
        <v>11.61</v>
      </c>
      <c r="H15" s="60">
        <v>12.12</v>
      </c>
      <c r="I15" s="60">
        <v>11.49</v>
      </c>
      <c r="J15" s="60">
        <v>10.79</v>
      </c>
      <c r="K15" s="60">
        <v>10.62</v>
      </c>
      <c r="L15" s="60">
        <v>10.98</v>
      </c>
      <c r="M15" s="60">
        <v>11.11</v>
      </c>
      <c r="N15" s="60">
        <f t="shared" si="0"/>
        <v>11.260833333333332</v>
      </c>
      <c r="O15" s="59"/>
      <c r="P15" s="59"/>
    </row>
    <row r="16" spans="1:16" ht="14.25">
      <c r="A16" s="62">
        <v>2011</v>
      </c>
      <c r="B16" s="60">
        <v>11.33</v>
      </c>
      <c r="C16" s="60">
        <v>11.57</v>
      </c>
      <c r="D16" s="61">
        <v>12.5</v>
      </c>
      <c r="E16" s="61">
        <v>13.94</v>
      </c>
      <c r="F16" s="60">
        <v>14.49</v>
      </c>
      <c r="G16" s="61">
        <v>14.82</v>
      </c>
      <c r="H16" s="61">
        <v>15.17</v>
      </c>
      <c r="I16" s="61">
        <v>16.05</v>
      </c>
      <c r="J16" s="60">
        <v>16.16</v>
      </c>
      <c r="K16" s="60">
        <v>14.28</v>
      </c>
      <c r="L16" s="60">
        <v>14.16</v>
      </c>
      <c r="M16" s="60">
        <v>13.82</v>
      </c>
      <c r="N16" s="60">
        <f t="shared" si="0"/>
        <v>14.024166666666666</v>
      </c>
      <c r="O16" s="59"/>
      <c r="P16" s="59"/>
    </row>
    <row r="17" spans="1:16" ht="14.25">
      <c r="A17" s="59">
        <v>2012</v>
      </c>
      <c r="B17" s="60">
        <v>15.17</v>
      </c>
      <c r="C17" s="60">
        <v>13.42</v>
      </c>
      <c r="D17" s="60">
        <v>12.96</v>
      </c>
      <c r="E17" s="60">
        <v>12.7</v>
      </c>
      <c r="F17" s="60">
        <v>12.76</v>
      </c>
      <c r="G17" s="61">
        <v>12.61</v>
      </c>
      <c r="H17" s="60">
        <v>12.78</v>
      </c>
      <c r="I17" s="61">
        <v>13.21</v>
      </c>
      <c r="J17" s="60">
        <v>13.57</v>
      </c>
      <c r="K17" s="60">
        <v>14.31</v>
      </c>
      <c r="L17" s="60">
        <v>15.77</v>
      </c>
      <c r="M17" s="60">
        <v>16.63</v>
      </c>
      <c r="N17" s="60">
        <f t="shared" si="0"/>
        <v>13.824166666666668</v>
      </c>
      <c r="O17" s="59"/>
      <c r="P17" s="59"/>
    </row>
    <row r="18" spans="1:16" ht="14.25">
      <c r="A18" s="62">
        <v>2013</v>
      </c>
      <c r="B18" s="60">
        <v>15.33</v>
      </c>
      <c r="C18" s="60">
        <v>14.91</v>
      </c>
      <c r="D18" s="60">
        <v>14.44</v>
      </c>
      <c r="E18" s="60">
        <v>14.07</v>
      </c>
      <c r="F18" s="60">
        <v>13.89</v>
      </c>
      <c r="G18" s="61">
        <v>15.09</v>
      </c>
      <c r="H18" s="60">
        <v>15.5</v>
      </c>
      <c r="I18" s="61">
        <v>15.77</v>
      </c>
      <c r="J18" s="60">
        <v>16.26</v>
      </c>
      <c r="K18" s="60">
        <v>16.55</v>
      </c>
      <c r="L18" s="60">
        <v>16.86</v>
      </c>
      <c r="M18" s="60">
        <v>17.31</v>
      </c>
      <c r="N18" s="60">
        <f t="shared" si="0"/>
        <v>15.498333333333335</v>
      </c>
      <c r="O18" s="59"/>
      <c r="P18" s="59"/>
    </row>
    <row r="19" spans="1:16" ht="14.25">
      <c r="A19" s="59">
        <v>2014</v>
      </c>
      <c r="B19" s="60">
        <v>17.81</v>
      </c>
      <c r="C19" s="60">
        <v>18.57</v>
      </c>
      <c r="D19" s="60">
        <v>19.14</v>
      </c>
      <c r="E19" s="60">
        <v>19.22</v>
      </c>
      <c r="F19" s="60">
        <v>19.45</v>
      </c>
      <c r="G19" s="61">
        <v>17.58</v>
      </c>
      <c r="H19" s="60">
        <v>17.01</v>
      </c>
      <c r="I19" s="61">
        <v>17.22</v>
      </c>
      <c r="J19" s="60">
        <v>16.56</v>
      </c>
      <c r="K19" s="60">
        <v>15.67</v>
      </c>
      <c r="L19" s="60">
        <v>15.25</v>
      </c>
      <c r="M19" s="60">
        <v>17.39</v>
      </c>
      <c r="N19" s="60">
        <f t="shared" si="0"/>
        <v>17.5725</v>
      </c>
      <c r="O19" s="59"/>
      <c r="P19" s="59"/>
    </row>
    <row r="20" spans="1:16" ht="14.25">
      <c r="A20" s="62">
        <v>2015</v>
      </c>
      <c r="B20" s="60">
        <v>13.35</v>
      </c>
      <c r="C20" s="60">
        <v>12.76</v>
      </c>
      <c r="D20" s="60">
        <v>11.59</v>
      </c>
      <c r="E20" s="60">
        <v>11.37</v>
      </c>
      <c r="F20" s="60">
        <v>11.52</v>
      </c>
      <c r="G20" s="61">
        <v>11.37</v>
      </c>
      <c r="H20" s="60">
        <v>11.47</v>
      </c>
      <c r="I20" s="61">
        <v>11.13</v>
      </c>
      <c r="J20" s="60">
        <v>11.08</v>
      </c>
      <c r="K20" s="60">
        <v>8.57</v>
      </c>
      <c r="L20" s="60">
        <v>8.65</v>
      </c>
      <c r="M20" s="60">
        <v>8.05</v>
      </c>
      <c r="N20" s="60">
        <f t="shared" si="0"/>
        <v>10.90916666666667</v>
      </c>
      <c r="O20" s="59"/>
      <c r="P20" s="59"/>
    </row>
    <row r="21" spans="1:16" ht="14.25">
      <c r="A21" s="59">
        <v>2016</v>
      </c>
      <c r="B21" s="60">
        <v>7.61</v>
      </c>
      <c r="C21" s="60">
        <v>7.91</v>
      </c>
      <c r="D21" s="60">
        <v>7.54</v>
      </c>
      <c r="E21" s="60">
        <v>8.22</v>
      </c>
      <c r="F21" s="60">
        <v>8.12</v>
      </c>
      <c r="G21" s="61">
        <v>7.31</v>
      </c>
      <c r="H21" s="60">
        <v>7.57</v>
      </c>
      <c r="I21" s="61">
        <v>8.16</v>
      </c>
      <c r="J21" s="60">
        <v>10.17</v>
      </c>
      <c r="K21" s="60">
        <v>10.78</v>
      </c>
      <c r="L21" s="60">
        <v>9.79</v>
      </c>
      <c r="M21" s="60">
        <v>11.84</v>
      </c>
      <c r="N21" s="60">
        <f t="shared" si="0"/>
        <v>8.751666666666667</v>
      </c>
      <c r="O21" s="59"/>
      <c r="P21" s="59"/>
    </row>
    <row r="22" spans="1:16" ht="14.25">
      <c r="A22" s="62">
        <v>2017</v>
      </c>
      <c r="B22" s="60">
        <v>11.61</v>
      </c>
      <c r="C22" s="60">
        <v>10.2</v>
      </c>
      <c r="D22" s="60">
        <v>10.65</v>
      </c>
      <c r="E22" s="60">
        <v>9.75</v>
      </c>
      <c r="F22" s="60">
        <v>9.14</v>
      </c>
      <c r="G22" s="61">
        <v>9.34</v>
      </c>
      <c r="H22" s="60">
        <v>9.32</v>
      </c>
      <c r="I22" s="61">
        <v>8.55</v>
      </c>
      <c r="J22" s="60">
        <v>8.33</v>
      </c>
      <c r="K22" s="60">
        <v>8.67</v>
      </c>
      <c r="L22" s="60">
        <v>9.28</v>
      </c>
      <c r="M22" s="60">
        <v>10.3</v>
      </c>
      <c r="N22" s="60">
        <f t="shared" si="0"/>
        <v>9.594999999999999</v>
      </c>
      <c r="O22" s="59"/>
      <c r="P22" s="59"/>
    </row>
    <row r="23" spans="1:16" ht="14.25">
      <c r="A23" s="62">
        <v>2018</v>
      </c>
      <c r="B23" s="60">
        <v>8.98</v>
      </c>
      <c r="C23" s="60">
        <v>7.71</v>
      </c>
      <c r="D23" s="60">
        <v>7.38</v>
      </c>
      <c r="E23" s="60">
        <v>7.82</v>
      </c>
      <c r="F23" s="60">
        <v>7.98</v>
      </c>
      <c r="G23" s="61">
        <v>8.35</v>
      </c>
      <c r="H23" s="60">
        <v>8.25</v>
      </c>
      <c r="I23" s="61">
        <v>7.46</v>
      </c>
      <c r="J23" s="60">
        <v>7.92</v>
      </c>
      <c r="K23" s="60">
        <v>9.71</v>
      </c>
      <c r="L23" s="60">
        <v>8.81</v>
      </c>
      <c r="M23" s="60">
        <v>8.42</v>
      </c>
      <c r="N23" s="60">
        <f t="shared" si="0"/>
        <v>8.2325</v>
      </c>
      <c r="O23" s="59"/>
      <c r="P23" s="59"/>
    </row>
    <row r="24" spans="1:16" ht="14.25">
      <c r="A24" s="62">
        <v>2019</v>
      </c>
      <c r="B24" s="60">
        <v>8.52</v>
      </c>
      <c r="C24" s="60">
        <v>8.8</v>
      </c>
      <c r="D24" s="60">
        <v>9.25</v>
      </c>
      <c r="E24" s="60">
        <v>9.05</v>
      </c>
      <c r="F24" s="60">
        <v>9.82</v>
      </c>
      <c r="G24" s="61">
        <v>10.39</v>
      </c>
      <c r="H24" s="60">
        <v>10.18</v>
      </c>
      <c r="I24" s="61">
        <v>10.81</v>
      </c>
      <c r="J24" s="60">
        <v>10.87</v>
      </c>
      <c r="K24" s="60">
        <v>11.29</v>
      </c>
      <c r="L24" s="60">
        <v>12.11</v>
      </c>
      <c r="M24" s="60">
        <v>13.61</v>
      </c>
      <c r="N24" s="60">
        <f t="shared" si="0"/>
        <v>10.391666666666667</v>
      </c>
      <c r="O24" s="59"/>
      <c r="P24" s="59"/>
    </row>
    <row r="25" spans="1:16" ht="14.25">
      <c r="A25" s="85">
        <v>2020</v>
      </c>
      <c r="B25" s="86">
        <v>13.71</v>
      </c>
      <c r="C25" s="87">
        <v>12.46</v>
      </c>
      <c r="D25" s="87">
        <v>12.82</v>
      </c>
      <c r="E25" s="87">
        <v>12.19</v>
      </c>
      <c r="F25" s="87">
        <v>10.72</v>
      </c>
      <c r="G25" s="87">
        <v>9.08</v>
      </c>
      <c r="H25" s="87">
        <v>12.62</v>
      </c>
      <c r="I25" s="87">
        <v>15.34</v>
      </c>
      <c r="J25" s="87">
        <v>15.02</v>
      </c>
      <c r="K25" s="87">
        <v>11.97</v>
      </c>
      <c r="L25" s="87">
        <v>14.78</v>
      </c>
      <c r="M25" s="87">
        <v>16.88</v>
      </c>
      <c r="N25" s="60">
        <f t="shared" si="0"/>
        <v>13.1325</v>
      </c>
      <c r="O25" s="59"/>
      <c r="P25" s="59"/>
    </row>
    <row r="26" spans="1:14" ht="14.25">
      <c r="A26" s="85">
        <v>2021</v>
      </c>
      <c r="B26" s="86">
        <v>12.03</v>
      </c>
      <c r="C26" s="87">
        <v>12.37</v>
      </c>
      <c r="D26" s="87">
        <v>12.62</v>
      </c>
      <c r="E26" s="87">
        <v>12</v>
      </c>
      <c r="F26" s="87">
        <v>12.56</v>
      </c>
      <c r="G26" s="87">
        <v>13.82</v>
      </c>
      <c r="H26" s="87">
        <v>12.95</v>
      </c>
      <c r="I26" s="87">
        <v>12.6</v>
      </c>
      <c r="J26" s="87">
        <v>12.46</v>
      </c>
      <c r="K26" s="87">
        <v>12.66</v>
      </c>
      <c r="L26" s="87">
        <v>13.73</v>
      </c>
      <c r="M26" s="87">
        <v>14.2</v>
      </c>
      <c r="N26" s="60">
        <f t="shared" si="0"/>
        <v>12.83333333333333</v>
      </c>
    </row>
    <row r="27" spans="1:14" ht="14.25">
      <c r="A27" s="85">
        <v>2022</v>
      </c>
      <c r="B27" s="86">
        <v>14.21</v>
      </c>
      <c r="C27" s="87">
        <v>14.44</v>
      </c>
      <c r="D27" s="87">
        <v>14.89</v>
      </c>
      <c r="E27" s="87">
        <v>15.98</v>
      </c>
      <c r="F27" s="87">
        <v>16.99</v>
      </c>
      <c r="G27" s="87">
        <v>17.66</v>
      </c>
      <c r="H27" s="87">
        <v>16.64</v>
      </c>
      <c r="I27" s="87">
        <v>15.75</v>
      </c>
      <c r="J27" s="87">
        <v>14.07</v>
      </c>
      <c r="K27" s="87">
        <v>12.6</v>
      </c>
      <c r="L27" s="87">
        <v>13.63</v>
      </c>
      <c r="M27" s="87">
        <v>13.45</v>
      </c>
      <c r="N27" s="87">
        <f t="shared" si="0"/>
        <v>15.025833333333331</v>
      </c>
    </row>
    <row r="28" spans="1:14" ht="15" thickBot="1">
      <c r="A28" s="92">
        <v>2023</v>
      </c>
      <c r="B28" s="93">
        <v>13.32</v>
      </c>
      <c r="C28" s="94">
        <v>13.38</v>
      </c>
      <c r="D28" s="94">
        <v>11.79</v>
      </c>
      <c r="E28" s="94">
        <v>11.66</v>
      </c>
      <c r="F28" s="94">
        <v>12.47</v>
      </c>
      <c r="G28" s="94">
        <v>10.72</v>
      </c>
      <c r="H28" s="94">
        <v>9.88</v>
      </c>
      <c r="I28" s="94">
        <v>9.22</v>
      </c>
      <c r="J28" s="94">
        <v>10.64</v>
      </c>
      <c r="K28" s="94">
        <v>11.12</v>
      </c>
      <c r="L28" s="94">
        <v>9.24</v>
      </c>
      <c r="M28" s="94">
        <v>9.25</v>
      </c>
      <c r="N28" s="94">
        <v>11.12</v>
      </c>
    </row>
    <row r="29" spans="12:14" ht="14.25">
      <c r="L29" s="58"/>
      <c r="M29" s="57"/>
      <c r="N29" s="57"/>
    </row>
    <row r="30" spans="2:14" ht="14.25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8"/>
      <c r="M30" s="57"/>
      <c r="N30" s="57"/>
    </row>
    <row r="31" spans="2:14" ht="14.25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8"/>
      <c r="M31" s="57"/>
      <c r="N31" s="57"/>
    </row>
    <row r="32" spans="1:14" ht="14.25">
      <c r="A32" s="55" t="s">
        <v>29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57"/>
      <c r="N32" s="57"/>
    </row>
    <row r="33" spans="1:11" ht="14.25">
      <c r="A33" s="55" t="s">
        <v>28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P33"/>
  <sheetViews>
    <sheetView zoomScale="90" zoomScaleNormal="90" zoomScalePageLayoutView="0" workbookViewId="0" topLeftCell="A1">
      <selection activeCell="N28" sqref="N28"/>
    </sheetView>
  </sheetViews>
  <sheetFormatPr defaultColWidth="9.140625" defaultRowHeight="12.75"/>
  <cols>
    <col min="1" max="1" width="6.7109375" style="55" customWidth="1"/>
    <col min="2" max="2" width="9.140625" style="55" customWidth="1"/>
    <col min="3" max="3" width="12.140625" style="55" bestFit="1" customWidth="1"/>
    <col min="4" max="11" width="9.140625" style="55" customWidth="1"/>
    <col min="12" max="12" width="8.140625" style="55" customWidth="1"/>
    <col min="13" max="16384" width="9.140625" style="55" customWidth="1"/>
  </cols>
  <sheetData>
    <row r="1" ht="15.75">
      <c r="A1" s="66" t="s">
        <v>125</v>
      </c>
    </row>
    <row r="3" spans="1:14" ht="14.25">
      <c r="A3" s="65" t="s">
        <v>19</v>
      </c>
      <c r="B3" s="65" t="s">
        <v>18</v>
      </c>
      <c r="C3" s="65" t="s">
        <v>17</v>
      </c>
      <c r="D3" s="65" t="s">
        <v>16</v>
      </c>
      <c r="E3" s="65" t="s">
        <v>15</v>
      </c>
      <c r="F3" s="65" t="s">
        <v>14</v>
      </c>
      <c r="G3" s="65" t="s">
        <v>13</v>
      </c>
      <c r="H3" s="65" t="s">
        <v>12</v>
      </c>
      <c r="I3" s="65" t="s">
        <v>11</v>
      </c>
      <c r="J3" s="65" t="s">
        <v>10</v>
      </c>
      <c r="K3" s="65" t="s">
        <v>9</v>
      </c>
      <c r="L3" s="65" t="s">
        <v>8</v>
      </c>
      <c r="M3" s="65" t="s">
        <v>7</v>
      </c>
      <c r="N3" s="65" t="s">
        <v>20</v>
      </c>
    </row>
    <row r="4" spans="1:14" ht="14.25">
      <c r="A4" s="64"/>
      <c r="B4" s="102" t="s">
        <v>31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6" ht="14.25">
      <c r="A5" s="59">
        <v>2000</v>
      </c>
      <c r="B5" s="67">
        <v>1.0054</v>
      </c>
      <c r="C5" s="67">
        <v>0.9502</v>
      </c>
      <c r="D5" s="67">
        <v>0.9913</v>
      </c>
      <c r="E5" s="67">
        <v>1.0189</v>
      </c>
      <c r="F5" s="67">
        <v>1.1759</v>
      </c>
      <c r="G5" s="67">
        <v>1.2395</v>
      </c>
      <c r="H5" s="67">
        <v>1.4555</v>
      </c>
      <c r="I5" s="67">
        <v>1.3113</v>
      </c>
      <c r="J5" s="67">
        <v>1.2791</v>
      </c>
      <c r="K5" s="67">
        <v>1.2766</v>
      </c>
      <c r="L5" s="67">
        <v>1.2635</v>
      </c>
      <c r="M5" s="67">
        <v>1.3483</v>
      </c>
      <c r="N5" s="67">
        <f>AVERAGE(B5:M5)</f>
        <v>1.1929583333333333</v>
      </c>
      <c r="O5" s="59"/>
      <c r="P5" s="59"/>
    </row>
    <row r="6" spans="1:16" ht="14.25">
      <c r="A6" s="62">
        <v>2001</v>
      </c>
      <c r="B6" s="67">
        <v>1.8444</v>
      </c>
      <c r="C6" s="67">
        <v>1.2552</v>
      </c>
      <c r="D6" s="67">
        <v>1.4683</v>
      </c>
      <c r="E6" s="67">
        <v>1.6922</v>
      </c>
      <c r="F6" s="67">
        <v>1.9087</v>
      </c>
      <c r="G6" s="67">
        <v>2.1233</v>
      </c>
      <c r="H6" s="67">
        <v>2.2304</v>
      </c>
      <c r="I6" s="67">
        <v>2.2412</v>
      </c>
      <c r="J6" s="67">
        <v>2.2632</v>
      </c>
      <c r="K6" s="67">
        <v>2.536</v>
      </c>
      <c r="L6" s="67">
        <v>1.8756</v>
      </c>
      <c r="M6" s="67">
        <v>1.4713</v>
      </c>
      <c r="N6" s="67">
        <f aca="true" t="shared" si="0" ref="N6:N27">AVERAGE(B6:M6)</f>
        <v>1.9091500000000001</v>
      </c>
      <c r="O6" s="59"/>
      <c r="P6" s="59"/>
    </row>
    <row r="7" spans="1:16" ht="14.25">
      <c r="A7" s="59">
        <v>2002</v>
      </c>
      <c r="B7" s="67">
        <v>1.4139</v>
      </c>
      <c r="C7" s="67">
        <v>1.506</v>
      </c>
      <c r="D7" s="67">
        <v>1.3817</v>
      </c>
      <c r="E7" s="67">
        <v>1.3933</v>
      </c>
      <c r="F7" s="67">
        <v>1.3539</v>
      </c>
      <c r="G7" s="67">
        <v>1.1777</v>
      </c>
      <c r="H7" s="67">
        <v>1.1643</v>
      </c>
      <c r="I7" s="67">
        <v>1.1222</v>
      </c>
      <c r="J7" s="67">
        <v>1.1005</v>
      </c>
      <c r="K7" s="67">
        <v>1.0135</v>
      </c>
      <c r="L7" s="67">
        <v>1.0623</v>
      </c>
      <c r="M7" s="67">
        <v>1.0982</v>
      </c>
      <c r="N7" s="67">
        <f t="shared" si="0"/>
        <v>1.232291666666667</v>
      </c>
      <c r="O7" s="59"/>
      <c r="P7" s="59"/>
    </row>
    <row r="8" spans="1:16" ht="14.25">
      <c r="A8" s="62">
        <v>2003</v>
      </c>
      <c r="B8" s="67">
        <v>1.1984</v>
      </c>
      <c r="C8" s="67">
        <v>1.2333</v>
      </c>
      <c r="D8" s="67">
        <v>1.1574</v>
      </c>
      <c r="E8" s="67">
        <v>1.1427</v>
      </c>
      <c r="F8" s="67">
        <v>1.1662</v>
      </c>
      <c r="G8" s="67">
        <v>1.17</v>
      </c>
      <c r="H8" s="67">
        <v>1.179</v>
      </c>
      <c r="I8" s="67">
        <v>1.2054</v>
      </c>
      <c r="J8" s="67">
        <v>1.3144</v>
      </c>
      <c r="K8" s="67">
        <v>1.2207</v>
      </c>
      <c r="L8" s="67">
        <v>1.2763</v>
      </c>
      <c r="M8" s="67">
        <v>1.3006</v>
      </c>
      <c r="N8" s="67">
        <f t="shared" si="0"/>
        <v>1.2137</v>
      </c>
      <c r="O8" s="59"/>
      <c r="P8" s="59"/>
    </row>
    <row r="9" spans="1:16" ht="14.25">
      <c r="A9" s="59">
        <v>2004</v>
      </c>
      <c r="B9" s="67">
        <v>1.3483</v>
      </c>
      <c r="C9" s="67">
        <v>1.5244</v>
      </c>
      <c r="D9" s="67">
        <v>1.7875</v>
      </c>
      <c r="E9" s="67">
        <v>2.2725</v>
      </c>
      <c r="F9" s="67">
        <v>2.4637</v>
      </c>
      <c r="G9" s="67">
        <v>2.478</v>
      </c>
      <c r="H9" s="67">
        <v>2.1288</v>
      </c>
      <c r="I9" s="67">
        <v>2.1152</v>
      </c>
      <c r="J9" s="67">
        <v>1.809</v>
      </c>
      <c r="K9" s="67">
        <v>1.8915</v>
      </c>
      <c r="L9" s="67">
        <v>1.9488</v>
      </c>
      <c r="M9" s="67">
        <v>1.9034</v>
      </c>
      <c r="N9" s="67">
        <f t="shared" si="0"/>
        <v>1.972591666666667</v>
      </c>
      <c r="O9" s="59"/>
      <c r="P9" s="59"/>
    </row>
    <row r="10" spans="1:16" ht="14.25">
      <c r="A10" s="62">
        <v>2005</v>
      </c>
      <c r="B10" s="67">
        <v>2.1018</v>
      </c>
      <c r="C10" s="67">
        <v>1.7638</v>
      </c>
      <c r="D10" s="67">
        <v>1.7858</v>
      </c>
      <c r="E10" s="67">
        <v>1.7559</v>
      </c>
      <c r="F10" s="67">
        <v>1.7292</v>
      </c>
      <c r="G10" s="67">
        <v>1.5466</v>
      </c>
      <c r="H10" s="67">
        <v>1.581</v>
      </c>
      <c r="I10" s="67">
        <v>1.8596</v>
      </c>
      <c r="J10" s="67">
        <v>1.8072</v>
      </c>
      <c r="K10" s="67">
        <v>1.9018</v>
      </c>
      <c r="L10" s="67">
        <v>1.8426</v>
      </c>
      <c r="M10" s="67">
        <v>1.6833</v>
      </c>
      <c r="N10" s="67">
        <f t="shared" si="0"/>
        <v>1.7798833333333333</v>
      </c>
      <c r="O10" s="59"/>
      <c r="P10" s="59"/>
    </row>
    <row r="11" spans="1:16" ht="14.25">
      <c r="A11" s="59">
        <v>2006</v>
      </c>
      <c r="B11" s="67">
        <v>1.5216</v>
      </c>
      <c r="C11" s="67">
        <v>1.4971</v>
      </c>
      <c r="D11" s="67">
        <v>1.3968</v>
      </c>
      <c r="E11" s="67">
        <v>1.2915</v>
      </c>
      <c r="F11" s="67">
        <v>1.2531</v>
      </c>
      <c r="G11" s="67">
        <v>1.281</v>
      </c>
      <c r="H11" s="67">
        <v>1.263</v>
      </c>
      <c r="I11" s="67">
        <v>1.2354</v>
      </c>
      <c r="J11" s="67">
        <v>1.2903</v>
      </c>
      <c r="K11" s="67">
        <v>1.4407</v>
      </c>
      <c r="L11" s="67">
        <v>1.4204</v>
      </c>
      <c r="M11" s="67">
        <v>1.397</v>
      </c>
      <c r="N11" s="67">
        <f t="shared" si="0"/>
        <v>1.3573250000000001</v>
      </c>
      <c r="O11" s="59"/>
      <c r="P11" s="59"/>
    </row>
    <row r="12" spans="1:16" ht="14.25">
      <c r="A12" s="62">
        <v>2007</v>
      </c>
      <c r="B12" s="67">
        <v>1.3747</v>
      </c>
      <c r="C12" s="67">
        <v>1.3106</v>
      </c>
      <c r="D12" s="67">
        <v>1.3335</v>
      </c>
      <c r="E12" s="67">
        <v>1.4096</v>
      </c>
      <c r="F12" s="67">
        <v>1.4589</v>
      </c>
      <c r="G12" s="67">
        <v>1.5666</v>
      </c>
      <c r="H12" s="67">
        <v>1.6908</v>
      </c>
      <c r="I12" s="67">
        <v>1.621</v>
      </c>
      <c r="J12" s="67">
        <v>1.6582</v>
      </c>
      <c r="K12" s="67">
        <v>1.5409</v>
      </c>
      <c r="L12" s="67">
        <v>1.4518</v>
      </c>
      <c r="M12" s="67">
        <v>1.432</v>
      </c>
      <c r="N12" s="67">
        <f t="shared" si="0"/>
        <v>1.487383333333333</v>
      </c>
      <c r="O12" s="59"/>
      <c r="P12" s="59"/>
    </row>
    <row r="13" spans="1:16" ht="14.25">
      <c r="A13" s="62">
        <v>2008</v>
      </c>
      <c r="B13" s="67">
        <v>1.4533</v>
      </c>
      <c r="C13" s="67">
        <v>1.386</v>
      </c>
      <c r="D13" s="67">
        <v>1.3338</v>
      </c>
      <c r="E13" s="67">
        <v>1.3683</v>
      </c>
      <c r="F13" s="67">
        <v>1.4863</v>
      </c>
      <c r="G13" s="67">
        <v>1.5825</v>
      </c>
      <c r="H13" s="67">
        <v>1.6286</v>
      </c>
      <c r="I13" s="67">
        <v>1.7004</v>
      </c>
      <c r="J13" s="67">
        <v>1.7611</v>
      </c>
      <c r="K13" s="67">
        <v>1.7651</v>
      </c>
      <c r="L13" s="67">
        <v>1.8588</v>
      </c>
      <c r="M13" s="67">
        <v>1.8125</v>
      </c>
      <c r="N13" s="67">
        <f t="shared" si="0"/>
        <v>1.5947250000000002</v>
      </c>
      <c r="O13" s="59"/>
      <c r="P13" s="59"/>
    </row>
    <row r="14" spans="1:16" ht="14.25">
      <c r="A14" s="62">
        <v>2009</v>
      </c>
      <c r="B14" s="67">
        <v>1.4183</v>
      </c>
      <c r="C14" s="67">
        <v>1.134</v>
      </c>
      <c r="D14" s="67">
        <v>1.1118</v>
      </c>
      <c r="E14" s="67">
        <v>1.17</v>
      </c>
      <c r="F14" s="67">
        <v>1.2219</v>
      </c>
      <c r="G14" s="67">
        <v>1.2717</v>
      </c>
      <c r="H14" s="67">
        <v>1.2882</v>
      </c>
      <c r="I14" s="67">
        <v>1.2349</v>
      </c>
      <c r="J14" s="67">
        <v>1.2846</v>
      </c>
      <c r="K14" s="67">
        <v>1.2241</v>
      </c>
      <c r="L14" s="67">
        <v>1.2952</v>
      </c>
      <c r="M14" s="67">
        <v>1.451</v>
      </c>
      <c r="N14" s="67">
        <f t="shared" si="0"/>
        <v>1.2588083333333333</v>
      </c>
      <c r="O14" s="59"/>
      <c r="P14" s="59"/>
    </row>
    <row r="15" spans="1:16" ht="14.25">
      <c r="A15" s="59">
        <v>2010</v>
      </c>
      <c r="B15" s="67">
        <v>1.6074</v>
      </c>
      <c r="C15" s="67">
        <v>1.429</v>
      </c>
      <c r="D15" s="67">
        <v>1.4715</v>
      </c>
      <c r="E15" s="67">
        <v>1.5379</v>
      </c>
      <c r="F15" s="67">
        <v>1.612</v>
      </c>
      <c r="G15" s="67">
        <v>1.7355</v>
      </c>
      <c r="H15" s="67">
        <v>1.7039</v>
      </c>
      <c r="I15" s="67">
        <v>1.9099</v>
      </c>
      <c r="J15" s="67">
        <v>2.0247</v>
      </c>
      <c r="K15" s="67">
        <v>2.3794</v>
      </c>
      <c r="L15" s="67">
        <v>2.4695</v>
      </c>
      <c r="M15" s="67">
        <v>2.3548</v>
      </c>
      <c r="N15" s="67">
        <f t="shared" si="0"/>
        <v>1.8529583333333335</v>
      </c>
      <c r="O15" s="59"/>
      <c r="P15" s="59"/>
    </row>
    <row r="16" spans="1:16" ht="14.25">
      <c r="A16" s="62">
        <v>2011</v>
      </c>
      <c r="B16" s="67">
        <v>1.7896</v>
      </c>
      <c r="C16" s="67">
        <v>1.9203</v>
      </c>
      <c r="D16" s="67">
        <v>2.3336</v>
      </c>
      <c r="E16" s="67">
        <v>2.2783</v>
      </c>
      <c r="F16" s="67">
        <v>2.2184</v>
      </c>
      <c r="G16" s="67">
        <v>2.29</v>
      </c>
      <c r="H16" s="67">
        <v>2.397</v>
      </c>
      <c r="I16" s="67">
        <v>2.2696</v>
      </c>
      <c r="J16" s="67">
        <v>2.3375</v>
      </c>
      <c r="K16" s="67">
        <v>2.2214</v>
      </c>
      <c r="L16" s="67">
        <v>1.9379</v>
      </c>
      <c r="M16" s="67">
        <v>2.0391</v>
      </c>
      <c r="N16" s="67">
        <f t="shared" si="0"/>
        <v>2.1693916666666664</v>
      </c>
      <c r="O16" s="59"/>
      <c r="P16" s="59"/>
    </row>
    <row r="17" spans="1:16" ht="14.25">
      <c r="A17" s="59">
        <v>2012</v>
      </c>
      <c r="B17" s="67">
        <v>1.7595</v>
      </c>
      <c r="C17" s="67">
        <v>1.737</v>
      </c>
      <c r="D17" s="67">
        <v>1.6555</v>
      </c>
      <c r="E17" s="67">
        <v>1.5439</v>
      </c>
      <c r="F17" s="67">
        <v>1.5833</v>
      </c>
      <c r="G17" s="67">
        <v>1.4479</v>
      </c>
      <c r="H17" s="67">
        <v>1.4794</v>
      </c>
      <c r="I17" s="67">
        <v>1.6586</v>
      </c>
      <c r="J17" s="67">
        <v>1.8561</v>
      </c>
      <c r="K17" s="67">
        <v>2.0208</v>
      </c>
      <c r="L17" s="67">
        <v>2.1371</v>
      </c>
      <c r="M17" s="67">
        <v>2.0963</v>
      </c>
      <c r="N17" s="67">
        <f t="shared" si="0"/>
        <v>1.7479500000000001</v>
      </c>
      <c r="O17" s="59"/>
      <c r="P17" s="59"/>
    </row>
    <row r="18" spans="1:16" ht="14.25">
      <c r="A18" s="62">
        <v>2013</v>
      </c>
      <c r="B18" s="67">
        <v>1.7652</v>
      </c>
      <c r="C18" s="67">
        <v>1.6627</v>
      </c>
      <c r="D18" s="67">
        <v>1.6764</v>
      </c>
      <c r="E18" s="67">
        <v>1.7389</v>
      </c>
      <c r="F18" s="67">
        <v>1.8155</v>
      </c>
      <c r="G18" s="67">
        <v>1.82</v>
      </c>
      <c r="H18" s="67">
        <v>1.7003</v>
      </c>
      <c r="I18" s="67">
        <v>1.6169</v>
      </c>
      <c r="J18" s="67">
        <v>1.562</v>
      </c>
      <c r="K18" s="67">
        <v>1.4927</v>
      </c>
      <c r="L18" s="67">
        <v>1.6955</v>
      </c>
      <c r="M18" s="67">
        <v>1.6186</v>
      </c>
      <c r="N18" s="67">
        <f t="shared" si="0"/>
        <v>1.6803916666666667</v>
      </c>
      <c r="O18" s="59"/>
      <c r="P18" s="59"/>
    </row>
    <row r="19" spans="1:16" ht="14.25">
      <c r="A19" s="59">
        <v>2014</v>
      </c>
      <c r="B19" s="67">
        <v>1.7991</v>
      </c>
      <c r="C19" s="67">
        <v>1.7425</v>
      </c>
      <c r="D19" s="67">
        <v>2.0498</v>
      </c>
      <c r="E19" s="67">
        <v>2.0294</v>
      </c>
      <c r="F19" s="67">
        <v>2.199</v>
      </c>
      <c r="G19" s="67">
        <v>2.2556</v>
      </c>
      <c r="H19" s="67">
        <v>2.4577</v>
      </c>
      <c r="I19" s="67">
        <v>2.6435</v>
      </c>
      <c r="J19" s="67">
        <v>2.7573</v>
      </c>
      <c r="K19" s="67">
        <v>3.161</v>
      </c>
      <c r="L19" s="67">
        <v>3.2416</v>
      </c>
      <c r="M19" s="67">
        <v>2.2135</v>
      </c>
      <c r="N19" s="67">
        <f t="shared" si="0"/>
        <v>2.379166666666667</v>
      </c>
      <c r="O19" s="59"/>
      <c r="P19" s="59"/>
    </row>
    <row r="20" spans="1:16" ht="14.25">
      <c r="A20" s="62">
        <v>2015</v>
      </c>
      <c r="B20" s="67">
        <v>2.1987</v>
      </c>
      <c r="C20" s="67">
        <v>1.6919</v>
      </c>
      <c r="D20" s="67">
        <v>1.8208</v>
      </c>
      <c r="E20" s="67">
        <v>1.8642</v>
      </c>
      <c r="F20" s="67">
        <v>1.9172</v>
      </c>
      <c r="G20" s="67">
        <v>2.0481</v>
      </c>
      <c r="H20" s="67">
        <v>2.1315</v>
      </c>
      <c r="I20" s="67">
        <v>2.1532</v>
      </c>
      <c r="J20" s="67">
        <v>2.1853</v>
      </c>
      <c r="K20" s="67">
        <v>2.7352</v>
      </c>
      <c r="L20" s="67">
        <v>2.8956</v>
      </c>
      <c r="M20" s="67">
        <v>3.1248</v>
      </c>
      <c r="N20" s="67">
        <f t="shared" si="0"/>
        <v>2.230541666666667</v>
      </c>
      <c r="O20" s="59"/>
      <c r="P20" s="59"/>
    </row>
    <row r="21" spans="1:16" ht="14.25">
      <c r="A21" s="59">
        <v>2016</v>
      </c>
      <c r="B21" s="67">
        <v>3.0562</v>
      </c>
      <c r="C21" s="67">
        <v>2.2878</v>
      </c>
      <c r="D21" s="67">
        <v>2.4303</v>
      </c>
      <c r="E21" s="67">
        <v>2.2306</v>
      </c>
      <c r="F21" s="67">
        <v>2.2455</v>
      </c>
      <c r="G21" s="67">
        <v>2.3108</v>
      </c>
      <c r="H21" s="67">
        <v>2.3989</v>
      </c>
      <c r="I21" s="67">
        <v>2.6273</v>
      </c>
      <c r="J21" s="67">
        <v>2.4975</v>
      </c>
      <c r="K21" s="67">
        <v>2.3423</v>
      </c>
      <c r="L21" s="67">
        <v>2.0949</v>
      </c>
      <c r="M21" s="67">
        <v>2.1304</v>
      </c>
      <c r="N21" s="67">
        <f t="shared" si="0"/>
        <v>2.387708333333333</v>
      </c>
      <c r="O21" s="59"/>
      <c r="P21" s="59"/>
    </row>
    <row r="22" spans="1:16" ht="14.25">
      <c r="A22" s="62">
        <v>2017</v>
      </c>
      <c r="B22" s="67">
        <v>2.3574</v>
      </c>
      <c r="C22" s="67">
        <v>2.5392</v>
      </c>
      <c r="D22" s="67">
        <v>2.4628</v>
      </c>
      <c r="E22" s="67">
        <v>2.4683</v>
      </c>
      <c r="F22" s="67">
        <v>2.3936</v>
      </c>
      <c r="G22" s="67">
        <v>2.3692</v>
      </c>
      <c r="H22" s="67">
        <v>2.7412</v>
      </c>
      <c r="I22" s="67">
        <v>2.9919</v>
      </c>
      <c r="J22" s="67">
        <v>3.0491</v>
      </c>
      <c r="K22" s="67">
        <v>2.878</v>
      </c>
      <c r="L22" s="67">
        <v>2.7004</v>
      </c>
      <c r="M22" s="67">
        <v>2.5535</v>
      </c>
      <c r="N22" s="67">
        <f t="shared" si="0"/>
        <v>2.625383333333333</v>
      </c>
      <c r="O22" s="59"/>
      <c r="P22" s="59"/>
    </row>
    <row r="23" spans="1:16" ht="14.25">
      <c r="A23" s="62">
        <v>2018</v>
      </c>
      <c r="B23" s="67">
        <v>2.5075</v>
      </c>
      <c r="C23" s="67">
        <v>2.5176</v>
      </c>
      <c r="D23" s="67">
        <v>2.3534</v>
      </c>
      <c r="E23" s="67">
        <v>2.4451</v>
      </c>
      <c r="F23" s="67">
        <v>2.4977</v>
      </c>
      <c r="G23" s="67">
        <v>2.6274</v>
      </c>
      <c r="H23" s="67">
        <v>2.6841</v>
      </c>
      <c r="I23" s="67">
        <v>2.5563</v>
      </c>
      <c r="J23" s="67">
        <v>2.6318</v>
      </c>
      <c r="K23" s="67">
        <v>2.5593</v>
      </c>
      <c r="L23" s="67">
        <v>2.5778</v>
      </c>
      <c r="M23" s="67">
        <v>2.5486</v>
      </c>
      <c r="N23" s="67">
        <f t="shared" si="0"/>
        <v>2.542216666666667</v>
      </c>
      <c r="O23" s="59"/>
      <c r="P23" s="59"/>
    </row>
    <row r="24" spans="1:16" ht="14.25">
      <c r="A24" s="62">
        <v>2019</v>
      </c>
      <c r="B24" s="67">
        <v>2.5417</v>
      </c>
      <c r="C24" s="67">
        <v>2.5162</v>
      </c>
      <c r="D24" s="67">
        <v>2.587</v>
      </c>
      <c r="E24" s="67">
        <v>2.5799</v>
      </c>
      <c r="F24" s="67">
        <v>2.5555</v>
      </c>
      <c r="G24" s="67">
        <v>2.5834</v>
      </c>
      <c r="H24" s="67">
        <v>2.6729</v>
      </c>
      <c r="I24" s="67">
        <v>2.703</v>
      </c>
      <c r="J24" s="67">
        <v>2.6755</v>
      </c>
      <c r="K24" s="67">
        <v>2.557</v>
      </c>
      <c r="L24" s="67">
        <v>2.4155</v>
      </c>
      <c r="M24" s="67">
        <v>2.3408</v>
      </c>
      <c r="N24" s="67">
        <f t="shared" si="0"/>
        <v>2.5607</v>
      </c>
      <c r="O24" s="59"/>
      <c r="P24" s="59"/>
    </row>
    <row r="25" spans="1:16" ht="14.25">
      <c r="A25" s="88">
        <v>2020</v>
      </c>
      <c r="B25" s="89">
        <v>2.2215</v>
      </c>
      <c r="C25" s="89">
        <v>2.1509</v>
      </c>
      <c r="D25" s="89">
        <v>2.0257</v>
      </c>
      <c r="E25" s="89">
        <v>1.9639</v>
      </c>
      <c r="F25" s="89">
        <v>1.3148</v>
      </c>
      <c r="G25" s="89">
        <v>1.3307</v>
      </c>
      <c r="H25" s="89">
        <v>1.8223</v>
      </c>
      <c r="I25" s="89">
        <v>1.9943</v>
      </c>
      <c r="J25" s="89">
        <v>1.6975</v>
      </c>
      <c r="K25" s="89">
        <v>1.6133</v>
      </c>
      <c r="L25" s="89">
        <v>1.6516</v>
      </c>
      <c r="M25" s="89">
        <v>1.5956</v>
      </c>
      <c r="N25" s="67">
        <f t="shared" si="0"/>
        <v>1.7818416666666668</v>
      </c>
      <c r="O25" s="59"/>
      <c r="P25" s="59"/>
    </row>
    <row r="26" spans="1:14" ht="14.25">
      <c r="A26" s="88">
        <v>2021</v>
      </c>
      <c r="B26" s="89">
        <v>1.5809</v>
      </c>
      <c r="C26" s="89">
        <v>1.6004</v>
      </c>
      <c r="D26" s="89">
        <v>1.4335</v>
      </c>
      <c r="E26" s="89">
        <v>1.6935</v>
      </c>
      <c r="F26" s="89">
        <v>1.9955</v>
      </c>
      <c r="G26" s="89">
        <v>1.9874</v>
      </c>
      <c r="H26" s="89">
        <v>1.979</v>
      </c>
      <c r="I26" s="89">
        <v>1.925</v>
      </c>
      <c r="J26" s="89">
        <v>1.8753</v>
      </c>
      <c r="K26" s="89">
        <v>1.9621</v>
      </c>
      <c r="L26" s="89">
        <v>1.9238</v>
      </c>
      <c r="M26" s="89">
        <v>2.1339</v>
      </c>
      <c r="N26" s="67">
        <f t="shared" si="0"/>
        <v>1.8408583333333333</v>
      </c>
    </row>
    <row r="27" spans="1:14" ht="14.25">
      <c r="A27" s="88">
        <v>2022</v>
      </c>
      <c r="B27" s="89">
        <v>2.286</v>
      </c>
      <c r="C27" s="89">
        <v>2.7737</v>
      </c>
      <c r="D27" s="89">
        <v>3.0038</v>
      </c>
      <c r="E27" s="89">
        <v>3.1298</v>
      </c>
      <c r="F27" s="89">
        <v>3.1573</v>
      </c>
      <c r="G27" s="89">
        <v>3.0928</v>
      </c>
      <c r="H27" s="89">
        <v>3.3743</v>
      </c>
      <c r="I27" s="89">
        <v>3.4086</v>
      </c>
      <c r="J27" s="89">
        <v>3.4401</v>
      </c>
      <c r="K27" s="89">
        <v>3.5871</v>
      </c>
      <c r="L27" s="89">
        <v>3.6974</v>
      </c>
      <c r="M27" s="89">
        <v>3.3146</v>
      </c>
      <c r="N27" s="67">
        <f t="shared" si="0"/>
        <v>3.188791666666667</v>
      </c>
    </row>
    <row r="28" spans="1:14" ht="15" thickBot="1">
      <c r="A28" s="95">
        <v>2023</v>
      </c>
      <c r="B28" s="96">
        <v>3.3027</v>
      </c>
      <c r="C28" s="96">
        <v>2.819</v>
      </c>
      <c r="D28" s="96">
        <v>2.7452</v>
      </c>
      <c r="E28" s="96">
        <v>2.7417</v>
      </c>
      <c r="F28" s="96">
        <v>2.7259</v>
      </c>
      <c r="G28" s="96">
        <v>2.7612</v>
      </c>
      <c r="H28" s="96">
        <v>2.7957</v>
      </c>
      <c r="I28" s="96">
        <v>2.7766</v>
      </c>
      <c r="J28" s="96">
        <v>3.037</v>
      </c>
      <c r="K28" s="96">
        <v>3.0677</v>
      </c>
      <c r="L28" s="96">
        <v>3.6666</v>
      </c>
      <c r="M28" s="96">
        <v>3.4726</v>
      </c>
      <c r="N28" s="96">
        <f>AVERAGE(B28:M28)</f>
        <v>2.992658333333333</v>
      </c>
    </row>
    <row r="29" spans="1:14" ht="14.25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</row>
    <row r="31" spans="1:14" ht="14.25">
      <c r="A31" s="55" t="s">
        <v>29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1:14" ht="14.25">
      <c r="A32" s="55" t="s">
        <v>30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2:14" ht="14.25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C27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.7109375" style="0" customWidth="1"/>
    <col min="3" max="3" width="77.140625" style="0" bestFit="1" customWidth="1"/>
  </cols>
  <sheetData>
    <row r="1" spans="1:3" ht="18">
      <c r="A1" s="100" t="s">
        <v>156</v>
      </c>
      <c r="B1" s="100"/>
      <c r="C1" s="100"/>
    </row>
    <row r="3" spans="1:3" ht="15">
      <c r="A3" s="71" t="s">
        <v>121</v>
      </c>
      <c r="B3" s="68"/>
      <c r="C3" s="68"/>
    </row>
    <row r="4" spans="1:3" ht="15">
      <c r="A4" s="68"/>
      <c r="B4" s="68"/>
      <c r="C4" s="68"/>
    </row>
    <row r="5" spans="1:3" ht="15">
      <c r="A5" s="69" t="s">
        <v>120</v>
      </c>
      <c r="B5" s="68"/>
      <c r="C5" s="68" t="s">
        <v>119</v>
      </c>
    </row>
    <row r="6" spans="1:3" ht="15">
      <c r="A6" s="68"/>
      <c r="B6" s="68"/>
      <c r="C6" s="68" t="s">
        <v>118</v>
      </c>
    </row>
    <row r="7" spans="1:3" ht="15">
      <c r="A7" s="69"/>
      <c r="B7" s="69"/>
      <c r="C7" s="68"/>
    </row>
    <row r="8" spans="1:3" ht="15">
      <c r="A8" s="69" t="s">
        <v>117</v>
      </c>
      <c r="B8" s="69"/>
      <c r="C8" s="68" t="s">
        <v>116</v>
      </c>
    </row>
    <row r="9" spans="1:3" ht="15">
      <c r="A9" s="69"/>
      <c r="B9" s="69"/>
      <c r="C9" s="68" t="s">
        <v>115</v>
      </c>
    </row>
    <row r="10" spans="1:3" ht="15">
      <c r="A10" s="69"/>
      <c r="B10" s="69"/>
      <c r="C10" s="68" t="s">
        <v>114</v>
      </c>
    </row>
    <row r="11" spans="1:3" ht="15">
      <c r="A11" s="69"/>
      <c r="B11" s="69"/>
      <c r="C11" s="68" t="s">
        <v>113</v>
      </c>
    </row>
    <row r="12" spans="1:3" ht="15">
      <c r="A12" s="69"/>
      <c r="B12" s="69"/>
      <c r="C12" s="68" t="s">
        <v>112</v>
      </c>
    </row>
    <row r="13" spans="1:3" ht="15">
      <c r="A13" s="69"/>
      <c r="B13" s="69"/>
      <c r="C13" s="68" t="s">
        <v>111</v>
      </c>
    </row>
    <row r="14" spans="1:3" ht="15">
      <c r="A14" s="69"/>
      <c r="B14" s="69"/>
      <c r="C14" s="68"/>
    </row>
    <row r="15" spans="1:3" ht="15">
      <c r="A15" s="69" t="s">
        <v>110</v>
      </c>
      <c r="B15" s="69"/>
      <c r="C15" s="68" t="s">
        <v>109</v>
      </c>
    </row>
    <row r="16" spans="1:3" ht="15">
      <c r="A16" s="69"/>
      <c r="B16" s="69"/>
      <c r="C16" s="68" t="s">
        <v>108</v>
      </c>
    </row>
    <row r="17" spans="1:3" ht="15">
      <c r="A17" s="69"/>
      <c r="B17" s="69"/>
      <c r="C17" s="68" t="s">
        <v>107</v>
      </c>
    </row>
    <row r="18" spans="1:3" ht="15">
      <c r="A18" s="69"/>
      <c r="B18" s="69"/>
      <c r="C18" s="68"/>
    </row>
    <row r="19" spans="1:3" ht="15">
      <c r="A19" s="70" t="s">
        <v>106</v>
      </c>
      <c r="B19" s="69"/>
      <c r="C19" s="68" t="s">
        <v>105</v>
      </c>
    </row>
    <row r="20" spans="1:3" ht="15">
      <c r="A20" s="69"/>
      <c r="B20" s="69"/>
      <c r="C20" s="68" t="s">
        <v>104</v>
      </c>
    </row>
    <row r="21" spans="1:3" ht="15">
      <c r="A21" s="69"/>
      <c r="B21" s="69"/>
      <c r="C21" s="68"/>
    </row>
    <row r="22" spans="1:3" ht="15">
      <c r="A22" s="69" t="s">
        <v>103</v>
      </c>
      <c r="B22" s="68"/>
      <c r="C22" s="68" t="s">
        <v>102</v>
      </c>
    </row>
    <row r="23" spans="1:3" ht="15">
      <c r="A23" s="68"/>
      <c r="B23" s="68"/>
      <c r="C23" s="68" t="s">
        <v>101</v>
      </c>
    </row>
    <row r="24" spans="1:3" ht="15">
      <c r="A24" s="68"/>
      <c r="B24" s="68"/>
      <c r="C24" s="68"/>
    </row>
    <row r="25" spans="1:3" ht="15">
      <c r="A25" s="68"/>
      <c r="B25" s="68"/>
      <c r="C25" s="68"/>
    </row>
    <row r="26" spans="1:3" ht="15">
      <c r="A26" s="68"/>
      <c r="B26" s="68"/>
      <c r="C26" s="68"/>
    </row>
    <row r="27" spans="1:3" ht="15">
      <c r="A27" s="68"/>
      <c r="B27" s="68"/>
      <c r="C27" s="68"/>
    </row>
  </sheetData>
  <sheetProtection/>
  <mergeCells count="1">
    <mergeCell ref="A1:C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H30"/>
  <sheetViews>
    <sheetView zoomScale="90" zoomScaleNormal="90" zoomScalePageLayoutView="0" workbookViewId="0" topLeftCell="A1">
      <selection activeCell="L28" sqref="L28:M28"/>
    </sheetView>
  </sheetViews>
  <sheetFormatPr defaultColWidth="9.140625" defaultRowHeight="12.75"/>
  <cols>
    <col min="1" max="1" width="6.7109375" style="28" customWidth="1"/>
    <col min="2" max="16384" width="9.140625" style="28" customWidth="1"/>
  </cols>
  <sheetData>
    <row r="1" ht="15.75">
      <c r="A1" s="36" t="s">
        <v>142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7"/>
      <c r="B4" s="101" t="s">
        <v>25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34" ht="14.25">
      <c r="A5" s="33">
        <v>2000</v>
      </c>
      <c r="B5" s="41">
        <v>3.8514009805787195</v>
      </c>
      <c r="C5" s="41">
        <v>3.8427824865413287</v>
      </c>
      <c r="D5" s="41">
        <v>3.766433286812397</v>
      </c>
      <c r="E5" s="41">
        <v>3.732777711110438</v>
      </c>
      <c r="F5" s="41">
        <v>3.6444568885466806</v>
      </c>
      <c r="G5" s="41">
        <v>3.6028984680720773</v>
      </c>
      <c r="H5" s="41">
        <v>3.5557950694638065</v>
      </c>
      <c r="I5" s="41">
        <v>3.5753476982432635</v>
      </c>
      <c r="J5" s="41">
        <v>3.6401115153990227</v>
      </c>
      <c r="K5" s="41">
        <v>3.7394442142945317</v>
      </c>
      <c r="L5" s="41">
        <v>3.7962984180490635</v>
      </c>
      <c r="M5" s="41">
        <v>3.86825106608187</v>
      </c>
      <c r="N5" s="41">
        <f>AVERAGE(B5:M5)</f>
        <v>3.7179998169327657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25">
      <c r="A6" s="32">
        <v>2001</v>
      </c>
      <c r="B6" s="41">
        <v>3.8128176481329454</v>
      </c>
      <c r="C6" s="41">
        <v>3.778259508017822</v>
      </c>
      <c r="D6" s="41">
        <v>3.7624742429259337</v>
      </c>
      <c r="E6" s="41">
        <v>3.708352758653144</v>
      </c>
      <c r="F6" s="41">
        <v>3.613069409448906</v>
      </c>
      <c r="G6" s="41">
        <v>3.57717565182467</v>
      </c>
      <c r="H6" s="41">
        <v>3.530163511512473</v>
      </c>
      <c r="I6" s="41">
        <v>3.5202638566050193</v>
      </c>
      <c r="J6" s="41">
        <v>3.6239333077801534</v>
      </c>
      <c r="K6" s="41">
        <v>3.7510459596566537</v>
      </c>
      <c r="L6" s="41">
        <v>3.7810407962323622</v>
      </c>
      <c r="M6" s="41">
        <v>3.78361122928836</v>
      </c>
      <c r="N6" s="41">
        <f aca="true" t="shared" si="0" ref="N6:N28">AVERAGE(B6:M6)</f>
        <v>3.686850656673203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14.25">
      <c r="A7" s="33">
        <v>2002</v>
      </c>
      <c r="B7" s="41">
        <v>3.7968834931081394</v>
      </c>
      <c r="C7" s="41">
        <v>3.7560627268172815</v>
      </c>
      <c r="D7" s="41">
        <v>3.7733807249409534</v>
      </c>
      <c r="E7" s="41">
        <v>3.71775297366316</v>
      </c>
      <c r="F7" s="41">
        <v>3.653918594674215</v>
      </c>
      <c r="G7" s="41">
        <v>3.590525222036902</v>
      </c>
      <c r="H7" s="41">
        <v>3.5229566351662855</v>
      </c>
      <c r="I7" s="41">
        <v>3.520278055575793</v>
      </c>
      <c r="J7" s="41">
        <v>3.598767558110062</v>
      </c>
      <c r="K7" s="41">
        <v>3.734810984865257</v>
      </c>
      <c r="L7" s="41">
        <v>3.831082297295269</v>
      </c>
      <c r="M7" s="41">
        <v>3.83262131179848</v>
      </c>
      <c r="N7" s="41">
        <f t="shared" si="0"/>
        <v>3.6940867148376504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14.25">
      <c r="A8" s="32">
        <v>2003</v>
      </c>
      <c r="B8" s="41">
        <v>3.7930602546133176</v>
      </c>
      <c r="C8" s="41">
        <v>3.7726178466534406</v>
      </c>
      <c r="D8" s="41">
        <v>3.742641229796912</v>
      </c>
      <c r="E8" s="41">
        <v>3.6877210731968293</v>
      </c>
      <c r="F8" s="41">
        <v>3.624259138891993</v>
      </c>
      <c r="G8" s="41">
        <v>3.5880940272346935</v>
      </c>
      <c r="H8" s="41">
        <v>3.529838398259238</v>
      </c>
      <c r="I8" s="41">
        <v>3.5389916859143105</v>
      </c>
      <c r="J8" s="41">
        <v>3.6051996707696925</v>
      </c>
      <c r="K8" s="41">
        <v>3.733325561791387</v>
      </c>
      <c r="L8" s="41">
        <v>3.779951459585349</v>
      </c>
      <c r="M8" s="41">
        <v>3.8077033379401755</v>
      </c>
      <c r="N8" s="41">
        <f t="shared" si="0"/>
        <v>3.683616973720612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14.25">
      <c r="A9" s="33">
        <v>2004</v>
      </c>
      <c r="B9" s="41">
        <v>3.78751542378414</v>
      </c>
      <c r="C9" s="41">
        <v>3.7754938666564173</v>
      </c>
      <c r="D9" s="41">
        <v>3.719115283194712</v>
      </c>
      <c r="E9" s="41">
        <v>3.662720310941153</v>
      </c>
      <c r="F9" s="41">
        <v>3.5779788461736337</v>
      </c>
      <c r="G9" s="41">
        <v>3.559655413059628</v>
      </c>
      <c r="H9" s="41">
        <v>3.5478665110896723</v>
      </c>
      <c r="I9" s="41">
        <v>3.581323546045142</v>
      </c>
      <c r="J9" s="41">
        <v>3.611272124223045</v>
      </c>
      <c r="K9" s="41">
        <v>3.721437232622829</v>
      </c>
      <c r="L9" s="41">
        <v>3.7711768235877567</v>
      </c>
      <c r="M9" s="41">
        <v>3.760414881847998</v>
      </c>
      <c r="N9" s="41">
        <f t="shared" si="0"/>
        <v>3.6729975219355104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4.25">
      <c r="A10" s="32">
        <v>2005</v>
      </c>
      <c r="B10" s="41">
        <v>3.7576677847549846</v>
      </c>
      <c r="C10" s="41">
        <v>3.718002499100111</v>
      </c>
      <c r="D10" s="41">
        <v>3.712127429255109</v>
      </c>
      <c r="E10" s="41">
        <v>3.6411344313150225</v>
      </c>
      <c r="F10" s="41">
        <v>3.604716598806896</v>
      </c>
      <c r="G10" s="41">
        <v>3.5243735330405035</v>
      </c>
      <c r="H10" s="41">
        <v>3.485608378193895</v>
      </c>
      <c r="I10" s="41">
        <v>3.4980725277759217</v>
      </c>
      <c r="J10" s="41">
        <v>3.588416706481797</v>
      </c>
      <c r="K10" s="41">
        <v>3.7164309352555445</v>
      </c>
      <c r="L10" s="41">
        <v>3.803557210130773</v>
      </c>
      <c r="M10" s="41">
        <v>3.8383442466641133</v>
      </c>
      <c r="N10" s="41">
        <f t="shared" si="0"/>
        <v>3.657371023397889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14.25">
      <c r="A11" s="33">
        <v>2006</v>
      </c>
      <c r="B11" s="41">
        <v>3.762135582798371</v>
      </c>
      <c r="C11" s="41">
        <v>3.7526274739089343</v>
      </c>
      <c r="D11" s="41">
        <v>3.7487241301150505</v>
      </c>
      <c r="E11" s="41">
        <v>3.6922753266026898</v>
      </c>
      <c r="F11" s="41">
        <v>3.6435504994809347</v>
      </c>
      <c r="G11" s="41">
        <v>3.5867299963044337</v>
      </c>
      <c r="H11" s="41">
        <v>3.557517519960715</v>
      </c>
      <c r="I11" s="41">
        <v>3.558039735974793</v>
      </c>
      <c r="J11" s="41">
        <v>3.657960084307633</v>
      </c>
      <c r="K11" s="41">
        <v>3.7757032189760023</v>
      </c>
      <c r="L11" s="41">
        <v>3.7882290935023004</v>
      </c>
      <c r="M11" s="41">
        <v>3.7523211188553556</v>
      </c>
      <c r="N11" s="41">
        <f t="shared" si="0"/>
        <v>3.689651148398935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1:34" ht="14.25">
      <c r="A12" s="32">
        <v>2007</v>
      </c>
      <c r="B12" s="41">
        <v>3.7256020952299864</v>
      </c>
      <c r="C12" s="41">
        <v>3.7794630622246883</v>
      </c>
      <c r="D12" s="41">
        <v>3.7151104328061284</v>
      </c>
      <c r="E12" s="41">
        <v>3.66359954976767</v>
      </c>
      <c r="F12" s="41">
        <v>3.5753156292189523</v>
      </c>
      <c r="G12" s="41">
        <v>3.5266649710798905</v>
      </c>
      <c r="H12" s="41">
        <v>3.525131550364303</v>
      </c>
      <c r="I12" s="41">
        <v>3.5523202924085924</v>
      </c>
      <c r="J12" s="41">
        <v>3.6029177804691623</v>
      </c>
      <c r="K12" s="41">
        <v>3.697651593312928</v>
      </c>
      <c r="L12" s="41">
        <v>3.8150876249390184</v>
      </c>
      <c r="M12" s="41">
        <v>3.842933554319508</v>
      </c>
      <c r="N12" s="41">
        <f t="shared" si="0"/>
        <v>3.6684831780117353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ht="14.25">
      <c r="A13" s="32">
        <v>2008</v>
      </c>
      <c r="B13" s="41">
        <v>3.803276162992274</v>
      </c>
      <c r="C13" s="41">
        <v>3.784385073178329</v>
      </c>
      <c r="D13" s="41">
        <v>3.7707598278960557</v>
      </c>
      <c r="E13" s="41">
        <v>3.7024439717206503</v>
      </c>
      <c r="F13" s="41">
        <v>3.617785429871332</v>
      </c>
      <c r="G13" s="41">
        <v>3.5575039076834716</v>
      </c>
      <c r="H13" s="41">
        <v>3.536093884938146</v>
      </c>
      <c r="I13" s="41">
        <v>3.567642059890283</v>
      </c>
      <c r="J13" s="41">
        <v>3.651340580127212</v>
      </c>
      <c r="K13" s="41">
        <v>3.757368687114256</v>
      </c>
      <c r="L13" s="41">
        <v>3.825025739210929</v>
      </c>
      <c r="M13" s="41">
        <v>3.856401496785243</v>
      </c>
      <c r="N13" s="41">
        <f t="shared" si="0"/>
        <v>3.702502235117349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ht="14.25">
      <c r="A14" s="32">
        <v>2009</v>
      </c>
      <c r="B14" s="41">
        <v>3.8284933745320027</v>
      </c>
      <c r="C14" s="41">
        <v>3.7805809831776163</v>
      </c>
      <c r="D14" s="41">
        <v>3.7356585284909127</v>
      </c>
      <c r="E14" s="41">
        <v>3.6921841144500083</v>
      </c>
      <c r="F14" s="41">
        <v>3.6245675133476594</v>
      </c>
      <c r="G14" s="41">
        <v>3.5797462344655617</v>
      </c>
      <c r="H14" s="41">
        <v>3.5472417467568094</v>
      </c>
      <c r="I14" s="41">
        <v>3.580783226649823</v>
      </c>
      <c r="J14" s="41">
        <v>3.6402561672011426</v>
      </c>
      <c r="K14" s="41">
        <v>3.7579858863943194</v>
      </c>
      <c r="L14" s="41">
        <v>3.758660334284394</v>
      </c>
      <c r="M14" s="41">
        <v>3.776711993583</v>
      </c>
      <c r="N14" s="41">
        <f t="shared" si="0"/>
        <v>3.6919058419444375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ht="14.25">
      <c r="A15" s="33">
        <v>2010</v>
      </c>
      <c r="B15" s="41">
        <v>3.7668013965969136</v>
      </c>
      <c r="C15" s="41">
        <v>3.7332896394095263</v>
      </c>
      <c r="D15" s="41">
        <v>3.6761279076278512</v>
      </c>
      <c r="E15" s="41">
        <v>3.614561392266183</v>
      </c>
      <c r="F15" s="41">
        <v>3.576140531466981</v>
      </c>
      <c r="G15" s="41">
        <v>3.50574451085788</v>
      </c>
      <c r="H15" s="41">
        <v>3.493854329765791</v>
      </c>
      <c r="I15" s="41">
        <v>3.5074658684357933</v>
      </c>
      <c r="J15" s="41">
        <v>3.606200400565524</v>
      </c>
      <c r="K15" s="41">
        <v>3.744361981623974</v>
      </c>
      <c r="L15" s="41">
        <v>3.8212037346360668</v>
      </c>
      <c r="M15" s="41">
        <v>3.8688789107069375</v>
      </c>
      <c r="N15" s="41">
        <f t="shared" si="0"/>
        <v>3.659552550329952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14.25">
      <c r="A16" s="32">
        <v>2011</v>
      </c>
      <c r="B16" s="41">
        <v>3.8365651613829335</v>
      </c>
      <c r="C16" s="41">
        <v>3.801668679697628</v>
      </c>
      <c r="D16" s="41">
        <v>3.7572006920751813</v>
      </c>
      <c r="E16" s="41">
        <v>3.7243577103122663</v>
      </c>
      <c r="F16" s="41">
        <v>3.6513334093866554</v>
      </c>
      <c r="G16" s="41">
        <v>3.5660648979275025</v>
      </c>
      <c r="H16" s="41">
        <v>3.5437107274961805</v>
      </c>
      <c r="I16" s="41">
        <v>3.5468444743652396</v>
      </c>
      <c r="J16" s="41">
        <v>3.65255695124429</v>
      </c>
      <c r="K16" s="41">
        <v>3.756876223054231</v>
      </c>
      <c r="L16" s="41">
        <v>3.8027463683655034</v>
      </c>
      <c r="M16" s="41">
        <v>3.7886264608906712</v>
      </c>
      <c r="N16" s="41">
        <f t="shared" si="0"/>
        <v>3.702379313016524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ht="14.25">
      <c r="A17" s="33">
        <v>2012</v>
      </c>
      <c r="B17" s="41">
        <v>3.7799580511383524</v>
      </c>
      <c r="C17" s="41">
        <v>3.754634766637667</v>
      </c>
      <c r="D17" s="41">
        <v>3.6959249857161676</v>
      </c>
      <c r="E17" s="41">
        <v>3.6728036654269984</v>
      </c>
      <c r="F17" s="41">
        <v>3.6055823116270416</v>
      </c>
      <c r="G17" s="41">
        <v>3.5506381430784884</v>
      </c>
      <c r="H17" s="41">
        <v>3.513009360102103</v>
      </c>
      <c r="I17" s="41">
        <v>3.54590544048396</v>
      </c>
      <c r="J17" s="41">
        <v>3.630957093084921</v>
      </c>
      <c r="K17" s="41">
        <v>3.782900341736497</v>
      </c>
      <c r="L17" s="41">
        <v>3.847162126383112</v>
      </c>
      <c r="M17" s="41">
        <v>3.838180196074408</v>
      </c>
      <c r="N17" s="41">
        <f t="shared" si="0"/>
        <v>3.68480470679081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4.25">
      <c r="A18" s="32">
        <v>2013</v>
      </c>
      <c r="B18" s="41">
        <v>3.843606599379884</v>
      </c>
      <c r="C18" s="41">
        <v>3.8447978943073315</v>
      </c>
      <c r="D18" s="41">
        <v>3.8440233521096294</v>
      </c>
      <c r="E18" s="41">
        <v>3.7746507208767257</v>
      </c>
      <c r="F18" s="41">
        <v>3.666512219021529</v>
      </c>
      <c r="G18" s="41">
        <v>3.6266558786417322</v>
      </c>
      <c r="H18" s="41">
        <v>3.603675234959549</v>
      </c>
      <c r="I18" s="41">
        <v>3.647531023392746</v>
      </c>
      <c r="J18" s="41">
        <v>3.699406592018745</v>
      </c>
      <c r="K18" s="41">
        <v>3.7894332542743916</v>
      </c>
      <c r="L18" s="41">
        <v>3.889741307792339</v>
      </c>
      <c r="M18" s="41">
        <v>3.906789877694151</v>
      </c>
      <c r="N18" s="41">
        <f t="shared" si="0"/>
        <v>3.76140199620573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14.25">
      <c r="A19" s="33">
        <v>2014</v>
      </c>
      <c r="B19" s="41">
        <v>3.8945289348018663</v>
      </c>
      <c r="C19" s="41">
        <v>3.8631465064262884</v>
      </c>
      <c r="D19" s="41">
        <v>3.828802697380756</v>
      </c>
      <c r="E19" s="41">
        <v>3.7284498109516147</v>
      </c>
      <c r="F19" s="41">
        <v>3.6533130217183443</v>
      </c>
      <c r="G19" s="41">
        <v>3.5972155707456674</v>
      </c>
      <c r="H19" s="41">
        <v>3.591153999592906</v>
      </c>
      <c r="I19" s="41">
        <v>3.638869863679476</v>
      </c>
      <c r="J19" s="41">
        <v>3.679457415070636</v>
      </c>
      <c r="K19" s="41">
        <v>3.774402990665096</v>
      </c>
      <c r="L19" s="41">
        <v>3.8689356823952608</v>
      </c>
      <c r="M19" s="41">
        <v>3.839736786079015</v>
      </c>
      <c r="N19" s="41">
        <f t="shared" si="0"/>
        <v>3.7465011066255776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4.25">
      <c r="A20" s="32">
        <v>2015</v>
      </c>
      <c r="B20" s="41">
        <v>3.838433503541181</v>
      </c>
      <c r="C20" s="41">
        <v>3.850018239465628</v>
      </c>
      <c r="D20" s="41">
        <v>3.80732102199136</v>
      </c>
      <c r="E20" s="41">
        <v>3.7191269734346935</v>
      </c>
      <c r="F20" s="41">
        <v>3.6458382808818737</v>
      </c>
      <c r="G20" s="41">
        <v>3.585668620270562</v>
      </c>
      <c r="H20" s="41">
        <v>3.576932374957286</v>
      </c>
      <c r="I20" s="41">
        <v>3.575018411348242</v>
      </c>
      <c r="J20" s="41">
        <v>3.6340246408701913</v>
      </c>
      <c r="K20" s="41">
        <v>3.7452970581332434</v>
      </c>
      <c r="L20" s="41">
        <v>3.7955900123774313</v>
      </c>
      <c r="M20" s="41">
        <v>3.8042199980234717</v>
      </c>
      <c r="N20" s="41">
        <f t="shared" si="0"/>
        <v>3.7147907612745974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4.25">
      <c r="A21" s="33">
        <v>2016</v>
      </c>
      <c r="B21" s="41">
        <v>3.8406588985960624</v>
      </c>
      <c r="C21" s="41">
        <v>3.8255466728008796</v>
      </c>
      <c r="D21" s="41">
        <v>3.771813294292386</v>
      </c>
      <c r="E21" s="41">
        <v>3.763007983660423</v>
      </c>
      <c r="F21" s="41">
        <v>3.6911723081448002</v>
      </c>
      <c r="G21" s="41">
        <v>3.5972532126578765</v>
      </c>
      <c r="H21" s="41">
        <v>3.5828245987939633</v>
      </c>
      <c r="I21" s="41">
        <v>3.5826619367342203</v>
      </c>
      <c r="J21" s="41">
        <v>3.644443184342546</v>
      </c>
      <c r="K21" s="41">
        <v>3.762931073166049</v>
      </c>
      <c r="L21" s="41">
        <v>3.8335270367790484</v>
      </c>
      <c r="M21" s="41">
        <v>3.9141986974352165</v>
      </c>
      <c r="N21" s="41">
        <f t="shared" si="0"/>
        <v>3.734169908116956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4.25">
      <c r="A22" s="32">
        <v>2017</v>
      </c>
      <c r="B22" s="41">
        <v>3.8849950720773423</v>
      </c>
      <c r="C22" s="41">
        <v>3.8329180522039987</v>
      </c>
      <c r="D22" s="41">
        <v>3.8230645750663586</v>
      </c>
      <c r="E22" s="41">
        <v>3.757499953778884</v>
      </c>
      <c r="F22" s="41">
        <v>3.7139738311194597</v>
      </c>
      <c r="G22" s="41">
        <v>3.647606269163302</v>
      </c>
      <c r="H22" s="41">
        <v>3.64</v>
      </c>
      <c r="I22" s="41">
        <v>3.6704955700920494</v>
      </c>
      <c r="J22" s="41">
        <v>3.750561186720664</v>
      </c>
      <c r="K22" s="41">
        <v>3.768408978730216</v>
      </c>
      <c r="L22" s="41">
        <v>3.920965564512495</v>
      </c>
      <c r="M22" s="41">
        <v>3.9540018524767238</v>
      </c>
      <c r="N22" s="41">
        <f t="shared" si="0"/>
        <v>3.7803742421617907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4.25">
      <c r="A23" s="32">
        <v>2018</v>
      </c>
      <c r="B23" s="41">
        <v>3.973751223449883</v>
      </c>
      <c r="C23" s="41">
        <v>3.9045624171591027</v>
      </c>
      <c r="D23" s="41">
        <v>3.8873951708900596</v>
      </c>
      <c r="E23" s="41">
        <v>3.8775964709828568</v>
      </c>
      <c r="F23" s="41">
        <v>3.7684745598902003</v>
      </c>
      <c r="G23" s="41">
        <v>3.67</v>
      </c>
      <c r="H23" s="41">
        <v>3.68</v>
      </c>
      <c r="I23" s="41">
        <v>3.71</v>
      </c>
      <c r="J23" s="41">
        <v>3.76</v>
      </c>
      <c r="K23" s="41">
        <v>3.88</v>
      </c>
      <c r="L23" s="41">
        <v>4</v>
      </c>
      <c r="M23" s="41">
        <v>3.99</v>
      </c>
      <c r="N23" s="41">
        <f t="shared" si="0"/>
        <v>3.841814986864342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4.25">
      <c r="A24" s="32">
        <v>2019</v>
      </c>
      <c r="B24" s="41">
        <v>3.9647928104516033</v>
      </c>
      <c r="C24" s="41">
        <v>3.958827537776645</v>
      </c>
      <c r="D24" s="41">
        <v>3.93</v>
      </c>
      <c r="E24" s="41">
        <v>3.85</v>
      </c>
      <c r="F24" s="41">
        <v>3.79</v>
      </c>
      <c r="G24" s="41">
        <v>3.74</v>
      </c>
      <c r="H24" s="41">
        <v>3.7</v>
      </c>
      <c r="I24" s="41">
        <v>3.72</v>
      </c>
      <c r="J24" s="41">
        <v>3.79</v>
      </c>
      <c r="K24" s="41">
        <v>3.88</v>
      </c>
      <c r="L24" s="41">
        <v>4.02</v>
      </c>
      <c r="M24" s="41">
        <v>4</v>
      </c>
      <c r="N24" s="41">
        <f t="shared" si="0"/>
        <v>3.861968362352355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4.25">
      <c r="A25" s="34">
        <v>2020</v>
      </c>
      <c r="B25" s="84">
        <v>3.96</v>
      </c>
      <c r="C25" s="84">
        <v>3.96</v>
      </c>
      <c r="D25" s="84">
        <v>3.92</v>
      </c>
      <c r="E25" s="84">
        <v>3.89</v>
      </c>
      <c r="F25" s="84">
        <v>3.83</v>
      </c>
      <c r="G25" s="84">
        <v>3.72</v>
      </c>
      <c r="H25" s="84">
        <v>3.69</v>
      </c>
      <c r="I25" s="84">
        <v>3.74</v>
      </c>
      <c r="J25" s="84">
        <v>3.83</v>
      </c>
      <c r="K25" s="84">
        <v>3.96</v>
      </c>
      <c r="L25" s="84">
        <v>4.02</v>
      </c>
      <c r="M25" s="84">
        <v>4.05</v>
      </c>
      <c r="N25" s="41">
        <f t="shared" si="0"/>
        <v>3.880833333333333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14" ht="14.25">
      <c r="A26" s="34">
        <v>2021</v>
      </c>
      <c r="B26" s="84">
        <v>4.02</v>
      </c>
      <c r="C26" s="84">
        <v>4.06</v>
      </c>
      <c r="D26" s="84">
        <v>3.99</v>
      </c>
      <c r="E26" s="84">
        <v>3.92</v>
      </c>
      <c r="F26" s="84">
        <v>3.88</v>
      </c>
      <c r="G26" s="84">
        <v>3.8</v>
      </c>
      <c r="H26" s="84">
        <v>3.79</v>
      </c>
      <c r="I26" s="84">
        <v>3.81</v>
      </c>
      <c r="J26" s="84">
        <v>3.85</v>
      </c>
      <c r="K26" s="84">
        <v>3.93</v>
      </c>
      <c r="L26" s="84">
        <v>4.09</v>
      </c>
      <c r="M26" s="84">
        <v>4.12</v>
      </c>
      <c r="N26" s="41">
        <f t="shared" si="0"/>
        <v>3.938333333333333</v>
      </c>
    </row>
    <row r="27" spans="1:14" ht="14.25">
      <c r="A27" s="34">
        <v>2022</v>
      </c>
      <c r="B27" s="41">
        <v>4.14</v>
      </c>
      <c r="C27" s="41">
        <v>4.13</v>
      </c>
      <c r="D27" s="41">
        <v>4.07</v>
      </c>
      <c r="E27" s="41">
        <v>4.04</v>
      </c>
      <c r="F27" s="41">
        <v>3.94</v>
      </c>
      <c r="G27" s="41">
        <v>3.86</v>
      </c>
      <c r="H27" s="41">
        <v>3.84</v>
      </c>
      <c r="I27" s="41">
        <v>3.87</v>
      </c>
      <c r="J27" s="41">
        <v>3.94</v>
      </c>
      <c r="K27" s="41">
        <v>4.08</v>
      </c>
      <c r="L27" s="41">
        <v>4.11</v>
      </c>
      <c r="M27" s="41">
        <v>4.16</v>
      </c>
      <c r="N27" s="41">
        <f t="shared" si="0"/>
        <v>4.015</v>
      </c>
    </row>
    <row r="28" spans="1:14" ht="15" thickBot="1">
      <c r="A28" s="97">
        <v>2023</v>
      </c>
      <c r="B28" s="98">
        <v>4.11</v>
      </c>
      <c r="C28" s="98">
        <v>4.13</v>
      </c>
      <c r="D28" s="98">
        <v>4.11</v>
      </c>
      <c r="E28" s="98">
        <v>4.05</v>
      </c>
      <c r="F28" s="98">
        <v>4</v>
      </c>
      <c r="G28" s="98">
        <v>3.93</v>
      </c>
      <c r="H28" s="98">
        <v>3.91</v>
      </c>
      <c r="I28" s="98">
        <v>3.94</v>
      </c>
      <c r="J28" s="98">
        <v>4.01</v>
      </c>
      <c r="K28" s="98">
        <v>4.11</v>
      </c>
      <c r="L28" s="98">
        <v>4.22</v>
      </c>
      <c r="M28" s="98">
        <v>4.25</v>
      </c>
      <c r="N28" s="98">
        <f t="shared" si="0"/>
        <v>4.064166666666666</v>
      </c>
    </row>
    <row r="29" spans="2:14" ht="14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4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H30"/>
  <sheetViews>
    <sheetView zoomScale="90" zoomScaleNormal="90" zoomScalePageLayoutView="0" workbookViewId="0" topLeftCell="A1">
      <selection activeCell="N28" sqref="N28"/>
    </sheetView>
  </sheetViews>
  <sheetFormatPr defaultColWidth="9.140625" defaultRowHeight="12.75"/>
  <cols>
    <col min="1" max="1" width="6.7109375" style="28" customWidth="1"/>
    <col min="2" max="16384" width="9.140625" style="28" customWidth="1"/>
  </cols>
  <sheetData>
    <row r="1" ht="15.75">
      <c r="A1" s="36" t="s">
        <v>143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7"/>
      <c r="B4" s="101" t="s">
        <v>25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34" ht="14.25">
      <c r="A5" s="33">
        <v>2000</v>
      </c>
      <c r="B5" s="41">
        <v>3.0986658316021742</v>
      </c>
      <c r="C5" s="41">
        <v>3.086794962478452</v>
      </c>
      <c r="D5" s="41">
        <v>3.048983111949745</v>
      </c>
      <c r="E5" s="41">
        <v>3.036957327216501</v>
      </c>
      <c r="F5" s="41">
        <v>3.006314386314423</v>
      </c>
      <c r="G5" s="41">
        <v>2.9578098603702143</v>
      </c>
      <c r="H5" s="41">
        <v>2.9399557228394624</v>
      </c>
      <c r="I5" s="41">
        <v>2.9534107734092943</v>
      </c>
      <c r="J5" s="41">
        <v>3.00650644759833</v>
      </c>
      <c r="K5" s="41">
        <v>3.073340998350689</v>
      </c>
      <c r="L5" s="41">
        <v>3.110263505986835</v>
      </c>
      <c r="M5" s="41">
        <v>3.117317837119123</v>
      </c>
      <c r="N5" s="41">
        <f>AVERAGE(B5:M5)</f>
        <v>3.0363600637696044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25">
      <c r="A6" s="32">
        <v>2001</v>
      </c>
      <c r="B6" s="41">
        <v>3.0782419308015183</v>
      </c>
      <c r="C6" s="41">
        <v>3.060427024121756</v>
      </c>
      <c r="D6" s="41">
        <v>3.0510713161576617</v>
      </c>
      <c r="E6" s="41">
        <v>3.0086667473487703</v>
      </c>
      <c r="F6" s="41">
        <v>2.970714215387092</v>
      </c>
      <c r="G6" s="41">
        <v>2.9416275577173816</v>
      </c>
      <c r="H6" s="41">
        <v>2.90323055212032</v>
      </c>
      <c r="I6" s="41">
        <v>2.9193813310562957</v>
      </c>
      <c r="J6" s="41">
        <v>3.0354303013229567</v>
      </c>
      <c r="K6" s="41">
        <v>3.10419628418921</v>
      </c>
      <c r="L6" s="41">
        <v>3.1024246039479317</v>
      </c>
      <c r="M6" s="41">
        <v>3.074885852338929</v>
      </c>
      <c r="N6" s="41">
        <f aca="true" t="shared" si="0" ref="N6:N27">AVERAGE(B6:M6)</f>
        <v>3.0208581430424855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14.25">
      <c r="A7" s="33">
        <v>2002</v>
      </c>
      <c r="B7" s="41">
        <v>3.0653455498656634</v>
      </c>
      <c r="C7" s="41">
        <v>3.0378739797301635</v>
      </c>
      <c r="D7" s="41">
        <v>3.038828947174049</v>
      </c>
      <c r="E7" s="41">
        <v>2.9886647696573605</v>
      </c>
      <c r="F7" s="41">
        <v>2.9885307439450592</v>
      </c>
      <c r="G7" s="41">
        <v>2.939065675504274</v>
      </c>
      <c r="H7" s="41">
        <v>2.89905546390151</v>
      </c>
      <c r="I7" s="41">
        <v>2.924796869412013</v>
      </c>
      <c r="J7" s="41">
        <v>2.9947344538713394</v>
      </c>
      <c r="K7" s="41">
        <v>3.095965932647462</v>
      </c>
      <c r="L7" s="41">
        <v>3.13112476159731</v>
      </c>
      <c r="M7" s="41">
        <v>3.10992489820655</v>
      </c>
      <c r="N7" s="41">
        <f t="shared" si="0"/>
        <v>3.0178260037927296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14.25">
      <c r="A8" s="32">
        <v>2003</v>
      </c>
      <c r="B8" s="41">
        <v>3.0765373252698134</v>
      </c>
      <c r="C8" s="41">
        <v>3.2845778370787366</v>
      </c>
      <c r="D8" s="41">
        <v>3.034015247852162</v>
      </c>
      <c r="E8" s="41">
        <v>2.9948124085714025</v>
      </c>
      <c r="F8" s="41">
        <v>2.978325342042899</v>
      </c>
      <c r="G8" s="41">
        <v>2.9659192948357322</v>
      </c>
      <c r="H8" s="41">
        <v>2.9220968634682705</v>
      </c>
      <c r="I8" s="41">
        <v>2.929562686859937</v>
      </c>
      <c r="J8" s="41">
        <v>3.0127176910834716</v>
      </c>
      <c r="K8" s="41">
        <v>3.1096842238340354</v>
      </c>
      <c r="L8" s="41">
        <v>3.104313036781521</v>
      </c>
      <c r="M8" s="41">
        <v>3.108643672819664</v>
      </c>
      <c r="N8" s="41">
        <f t="shared" si="0"/>
        <v>3.0434338025414704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14.25">
      <c r="A9" s="33">
        <v>2004</v>
      </c>
      <c r="B9" s="41">
        <v>3.095657306200189</v>
      </c>
      <c r="C9" s="41">
        <v>3.0748418498625276</v>
      </c>
      <c r="D9" s="41">
        <v>3.0495563215353982</v>
      </c>
      <c r="E9" s="41">
        <v>3.01310777586026</v>
      </c>
      <c r="F9" s="41">
        <v>2.9663686454815763</v>
      </c>
      <c r="G9" s="41">
        <v>2.949839900900999</v>
      </c>
      <c r="H9" s="41">
        <v>2.9446916719199483</v>
      </c>
      <c r="I9" s="41">
        <v>2.986650933277342</v>
      </c>
      <c r="J9" s="41">
        <v>3.028238110217262</v>
      </c>
      <c r="K9" s="41">
        <v>3.1023144572089985</v>
      </c>
      <c r="L9" s="41">
        <v>3.11363203682419</v>
      </c>
      <c r="M9" s="41">
        <v>3.1030310352890984</v>
      </c>
      <c r="N9" s="41">
        <f t="shared" si="0"/>
        <v>3.0356608370481495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4.25">
      <c r="A10" s="32">
        <v>2005</v>
      </c>
      <c r="B10" s="41">
        <v>3.084368432278735</v>
      </c>
      <c r="C10" s="41">
        <v>3.0603085865845894</v>
      </c>
      <c r="D10" s="41">
        <v>3.0483418235574873</v>
      </c>
      <c r="E10" s="41">
        <v>3.0014790803226545</v>
      </c>
      <c r="F10" s="41">
        <v>3.046135554414533</v>
      </c>
      <c r="G10" s="41">
        <v>2.916407168709676</v>
      </c>
      <c r="H10" s="41">
        <v>2.8860237914126468</v>
      </c>
      <c r="I10" s="41">
        <v>2.927717939865188</v>
      </c>
      <c r="J10" s="41">
        <v>3.0107233993321754</v>
      </c>
      <c r="K10" s="41">
        <v>3.0914904122206646</v>
      </c>
      <c r="L10" s="41">
        <v>3.1288980524254626</v>
      </c>
      <c r="M10" s="41">
        <v>3.137485427498058</v>
      </c>
      <c r="N10" s="41">
        <f t="shared" si="0"/>
        <v>3.0282816390518223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14.25">
      <c r="A11" s="32">
        <v>2006</v>
      </c>
      <c r="B11" s="41">
        <v>3.067639686350718</v>
      </c>
      <c r="C11" s="41">
        <v>3.059797220369022</v>
      </c>
      <c r="D11" s="41">
        <v>3.0501304033107117</v>
      </c>
      <c r="E11" s="41">
        <v>3.005868323280578</v>
      </c>
      <c r="F11" s="41">
        <v>2.9898080460540037</v>
      </c>
      <c r="G11" s="41">
        <v>2.9563085604864052</v>
      </c>
      <c r="H11" s="41">
        <v>2.9391178522606345</v>
      </c>
      <c r="I11" s="41">
        <v>2.953270816081605</v>
      </c>
      <c r="J11" s="41">
        <v>3.051209894100941</v>
      </c>
      <c r="K11" s="41">
        <v>3.124662605424479</v>
      </c>
      <c r="L11" s="41">
        <v>3.123656368904083</v>
      </c>
      <c r="M11" s="41">
        <v>3.0967336735502236</v>
      </c>
      <c r="N11" s="41">
        <f t="shared" si="0"/>
        <v>3.03485028751445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1:34" ht="14.25">
      <c r="A12" s="32">
        <v>2007</v>
      </c>
      <c r="B12" s="41">
        <v>3.0722898313919558</v>
      </c>
      <c r="C12" s="41">
        <v>3.107139420176399</v>
      </c>
      <c r="D12" s="41">
        <v>3.0584806104751547</v>
      </c>
      <c r="E12" s="41">
        <v>3.037318568197145</v>
      </c>
      <c r="F12" s="41">
        <v>3.0015498247439893</v>
      </c>
      <c r="G12" s="41">
        <v>2.970248103322198</v>
      </c>
      <c r="H12" s="41">
        <v>2.9617571301106222</v>
      </c>
      <c r="I12" s="41">
        <v>2.963613815503189</v>
      </c>
      <c r="J12" s="41">
        <v>3.0300297658043744</v>
      </c>
      <c r="K12" s="41">
        <v>3.094092945822728</v>
      </c>
      <c r="L12" s="41">
        <v>3.164470986878823</v>
      </c>
      <c r="M12" s="41">
        <v>3.158821982666883</v>
      </c>
      <c r="N12" s="41">
        <f t="shared" si="0"/>
        <v>3.0516510820911225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ht="14.25">
      <c r="A13" s="33">
        <v>2008</v>
      </c>
      <c r="B13" s="41">
        <v>3.1147246042531314</v>
      </c>
      <c r="C13" s="41">
        <v>3.108095742723867</v>
      </c>
      <c r="D13" s="41">
        <v>3.0908429473755796</v>
      </c>
      <c r="E13" s="41">
        <v>3.0364380676785303</v>
      </c>
      <c r="F13" s="41">
        <v>3.0164332482199274</v>
      </c>
      <c r="G13" s="41">
        <v>2.9595788459400163</v>
      </c>
      <c r="H13" s="41">
        <v>2.937998111257106</v>
      </c>
      <c r="I13" s="41">
        <v>2.97226279324312</v>
      </c>
      <c r="J13" s="41">
        <v>3.0255452287154565</v>
      </c>
      <c r="K13" s="41">
        <v>3.109144564163842</v>
      </c>
      <c r="L13" s="41">
        <v>3.149465331554576</v>
      </c>
      <c r="M13" s="41">
        <v>3.1503000039297957</v>
      </c>
      <c r="N13" s="41">
        <f t="shared" si="0"/>
        <v>3.0559024574212454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ht="14.25">
      <c r="A14" s="32">
        <v>2009</v>
      </c>
      <c r="B14" s="41">
        <v>3.128866546688079</v>
      </c>
      <c r="C14" s="41">
        <v>3.0898908133611966</v>
      </c>
      <c r="D14" s="41">
        <v>3.06062489786427</v>
      </c>
      <c r="E14" s="41">
        <v>3.033101345893976</v>
      </c>
      <c r="F14" s="41">
        <v>2.9995641843608323</v>
      </c>
      <c r="G14" s="41">
        <v>2.9614117603814756</v>
      </c>
      <c r="H14" s="41">
        <v>2.961970776383944</v>
      </c>
      <c r="I14" s="41">
        <v>2.974593731648419</v>
      </c>
      <c r="J14" s="41">
        <v>3.045697545584646</v>
      </c>
      <c r="K14" s="41">
        <v>3.1366272414964813</v>
      </c>
      <c r="L14" s="41">
        <v>3.1327597709200092</v>
      </c>
      <c r="M14" s="41">
        <v>3.139006013576569</v>
      </c>
      <c r="N14" s="41">
        <f t="shared" si="0"/>
        <v>3.055342885679991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ht="14.25">
      <c r="A15" s="33">
        <v>2010</v>
      </c>
      <c r="B15" s="41">
        <v>3.1167605498171493</v>
      </c>
      <c r="C15" s="41">
        <v>3.1019055366806527</v>
      </c>
      <c r="D15" s="41">
        <v>3.057979800403372</v>
      </c>
      <c r="E15" s="41">
        <v>3.023361303753291</v>
      </c>
      <c r="F15" s="41">
        <v>2.994571228189375</v>
      </c>
      <c r="G15" s="41">
        <v>2.942072502809966</v>
      </c>
      <c r="H15" s="41">
        <v>2.920177450224181</v>
      </c>
      <c r="I15" s="41">
        <v>2.9521700145372303</v>
      </c>
      <c r="J15" s="41">
        <v>3.050622409934819</v>
      </c>
      <c r="K15" s="41">
        <v>3.141280959941738</v>
      </c>
      <c r="L15" s="41">
        <v>3.1787897457843486</v>
      </c>
      <c r="M15" s="41">
        <v>3.1811078486728905</v>
      </c>
      <c r="N15" s="41">
        <f t="shared" si="0"/>
        <v>3.0550666125624173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14.25">
      <c r="A16" s="32">
        <v>2011</v>
      </c>
      <c r="B16" s="41">
        <v>3.145025591658239</v>
      </c>
      <c r="C16" s="41">
        <v>3.1151790273512456</v>
      </c>
      <c r="D16" s="41">
        <v>3.0855122141394973</v>
      </c>
      <c r="E16" s="41">
        <v>3.066827320573717</v>
      </c>
      <c r="F16" s="41">
        <v>3.020875436259395</v>
      </c>
      <c r="G16" s="41">
        <v>2.9738342000222877</v>
      </c>
      <c r="H16" s="41">
        <v>2.929682023298081</v>
      </c>
      <c r="I16" s="41">
        <v>2.980665807500508</v>
      </c>
      <c r="J16" s="41">
        <v>3.0695238639285933</v>
      </c>
      <c r="K16" s="41">
        <v>3.1595578150085744</v>
      </c>
      <c r="L16" s="41">
        <v>3.1878883472453365</v>
      </c>
      <c r="M16" s="41">
        <v>3.1702349504163863</v>
      </c>
      <c r="N16" s="41">
        <f t="shared" si="0"/>
        <v>3.0754005497834886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ht="14.25">
      <c r="A17" s="33">
        <v>2012</v>
      </c>
      <c r="B17" s="41">
        <v>3.147646732781291</v>
      </c>
      <c r="C17" s="41">
        <v>3.1243777353055555</v>
      </c>
      <c r="D17" s="41">
        <v>3.076612077490607</v>
      </c>
      <c r="E17" s="41">
        <v>3.0788215639347425</v>
      </c>
      <c r="F17" s="41">
        <v>3.0372339487301216</v>
      </c>
      <c r="G17" s="41">
        <v>3.0087694464270394</v>
      </c>
      <c r="H17" s="41">
        <v>2.951263373936649</v>
      </c>
      <c r="I17" s="41">
        <v>3.004902447928601</v>
      </c>
      <c r="J17" s="41">
        <v>3.0810277770901013</v>
      </c>
      <c r="K17" s="41">
        <v>3.165175239868013</v>
      </c>
      <c r="L17" s="41">
        <v>3.189172296008904</v>
      </c>
      <c r="M17" s="41">
        <v>3.1531218583062857</v>
      </c>
      <c r="N17" s="41">
        <f t="shared" si="0"/>
        <v>3.0848437081506592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4.25">
      <c r="A18" s="32">
        <v>2013</v>
      </c>
      <c r="B18" s="41">
        <v>3.1551053190117258</v>
      </c>
      <c r="C18" s="41">
        <v>3.1559160867795164</v>
      </c>
      <c r="D18" s="41">
        <v>3.1512353326108564</v>
      </c>
      <c r="E18" s="41">
        <v>3.1055142769129054</v>
      </c>
      <c r="F18" s="41">
        <v>3.0505776747194147</v>
      </c>
      <c r="G18" s="41">
        <v>3.011464755918659</v>
      </c>
      <c r="H18" s="41">
        <v>2.9681167649696367</v>
      </c>
      <c r="I18" s="41">
        <v>3.021416846112111</v>
      </c>
      <c r="J18" s="41">
        <v>3.075850262372946</v>
      </c>
      <c r="K18" s="41">
        <v>3.152863399555408</v>
      </c>
      <c r="L18" s="41">
        <v>3.253270480590266</v>
      </c>
      <c r="M18" s="41">
        <v>3.2107514784286564</v>
      </c>
      <c r="N18" s="41">
        <f t="shared" si="0"/>
        <v>3.1093402231651748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14.25">
      <c r="A19" s="33">
        <v>2014</v>
      </c>
      <c r="B19" s="41">
        <v>3.191560012834089</v>
      </c>
      <c r="C19" s="41">
        <v>3.1788621653870774</v>
      </c>
      <c r="D19" s="41">
        <v>3.1519533535788327</v>
      </c>
      <c r="E19" s="41">
        <v>3.0953053306465046</v>
      </c>
      <c r="F19" s="41">
        <v>3.0613785255344617</v>
      </c>
      <c r="G19" s="41">
        <v>3.019254481676361</v>
      </c>
      <c r="H19" s="41">
        <v>3.009955019642812</v>
      </c>
      <c r="I19" s="41">
        <v>3.0378244212099084</v>
      </c>
      <c r="J19" s="41">
        <v>3.0885475597795526</v>
      </c>
      <c r="K19" s="41">
        <v>3.154672012426903</v>
      </c>
      <c r="L19" s="41">
        <v>3.2113644988122374</v>
      </c>
      <c r="M19" s="41">
        <v>3.1736736813057274</v>
      </c>
      <c r="N19" s="41">
        <f t="shared" si="0"/>
        <v>3.114529255236206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4.25">
      <c r="A20" s="32">
        <v>2015</v>
      </c>
      <c r="B20" s="41">
        <v>3.1665325057132194</v>
      </c>
      <c r="C20" s="41">
        <v>3.170888180186535</v>
      </c>
      <c r="D20" s="41">
        <v>3.13880601552385</v>
      </c>
      <c r="E20" s="41">
        <v>3.0836149074075845</v>
      </c>
      <c r="F20" s="41">
        <v>3.034462976966208</v>
      </c>
      <c r="G20" s="41">
        <v>2.9962410935738504</v>
      </c>
      <c r="H20" s="41">
        <v>2.9870934005336065</v>
      </c>
      <c r="I20" s="41">
        <v>3.0086332301427885</v>
      </c>
      <c r="J20" s="41">
        <v>3.0481113993555113</v>
      </c>
      <c r="K20" s="41">
        <v>3.1496310296237686</v>
      </c>
      <c r="L20" s="41">
        <v>3.178199381384339</v>
      </c>
      <c r="M20" s="41">
        <v>3.1612365114912424</v>
      </c>
      <c r="N20" s="41">
        <f t="shared" si="0"/>
        <v>3.093620885991875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4.25">
      <c r="A21" s="33">
        <v>2016</v>
      </c>
      <c r="B21" s="41">
        <v>3.1768795347388896</v>
      </c>
      <c r="C21" s="41">
        <v>3.1537594946432543</v>
      </c>
      <c r="D21" s="41">
        <v>3.1116060980158724</v>
      </c>
      <c r="E21" s="41">
        <v>3.104005160066383</v>
      </c>
      <c r="F21" s="41">
        <v>3.0728309345913885</v>
      </c>
      <c r="G21" s="41">
        <v>3.0166747562413536</v>
      </c>
      <c r="H21" s="41">
        <v>2.9880860159131686</v>
      </c>
      <c r="I21" s="41">
        <v>2.996123971457261</v>
      </c>
      <c r="J21" s="41">
        <v>3.0418452717049247</v>
      </c>
      <c r="K21" s="41">
        <v>3.146690640980438</v>
      </c>
      <c r="L21" s="41">
        <v>3.198437751007397</v>
      </c>
      <c r="M21" s="41">
        <v>3.2218078973842332</v>
      </c>
      <c r="N21" s="41">
        <f t="shared" si="0"/>
        <v>3.1023956272287134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4.25">
      <c r="A22" s="32">
        <v>2017</v>
      </c>
      <c r="B22" s="41">
        <v>3.188436953277781</v>
      </c>
      <c r="C22" s="41">
        <v>3.1609001169749704</v>
      </c>
      <c r="D22" s="41">
        <v>3.158175049723766</v>
      </c>
      <c r="E22" s="41">
        <v>3.113483217583575</v>
      </c>
      <c r="F22" s="41">
        <v>3.0908699766764087</v>
      </c>
      <c r="G22" s="41">
        <v>3.039946382712837</v>
      </c>
      <c r="H22" s="41">
        <v>3.02</v>
      </c>
      <c r="I22" s="41">
        <v>3.0551946311926015</v>
      </c>
      <c r="J22" s="41">
        <v>3.0846710315900587</v>
      </c>
      <c r="K22" s="41">
        <v>3.135954539246575</v>
      </c>
      <c r="L22" s="41">
        <v>3.214974154123558</v>
      </c>
      <c r="M22" s="41">
        <v>3.2165448404183596</v>
      </c>
      <c r="N22" s="41">
        <f t="shared" si="0"/>
        <v>3.123262574460041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4.25">
      <c r="A23" s="32">
        <v>2018</v>
      </c>
      <c r="B23" s="41">
        <v>3.219149719002571</v>
      </c>
      <c r="C23" s="41">
        <v>3.172683069115688</v>
      </c>
      <c r="D23" s="41">
        <v>3.155718632520532</v>
      </c>
      <c r="E23" s="41">
        <v>3.1433483522754733</v>
      </c>
      <c r="F23" s="41">
        <v>3.0667943095594974</v>
      </c>
      <c r="G23" s="41">
        <v>3.013317526707596</v>
      </c>
      <c r="H23" s="41">
        <v>2.99</v>
      </c>
      <c r="I23" s="41">
        <v>3.04</v>
      </c>
      <c r="J23" s="41">
        <v>3.08</v>
      </c>
      <c r="K23" s="41">
        <v>3.18</v>
      </c>
      <c r="L23" s="41">
        <v>3.26</v>
      </c>
      <c r="M23" s="41">
        <v>3.23</v>
      </c>
      <c r="N23" s="41">
        <f t="shared" si="0"/>
        <v>3.1292509674317794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4.25">
      <c r="A24" s="32">
        <v>2019</v>
      </c>
      <c r="B24" s="41">
        <v>3.210336265531559</v>
      </c>
      <c r="C24" s="41">
        <v>3.2059438031583016</v>
      </c>
      <c r="D24" s="41">
        <v>3.19</v>
      </c>
      <c r="E24" s="41">
        <v>3.14</v>
      </c>
      <c r="F24" s="41">
        <v>3.1</v>
      </c>
      <c r="G24" s="41">
        <v>3.05</v>
      </c>
      <c r="H24" s="41">
        <v>2.99</v>
      </c>
      <c r="I24" s="41">
        <v>3.05</v>
      </c>
      <c r="J24" s="41">
        <v>3.11</v>
      </c>
      <c r="K24" s="41">
        <v>3.18</v>
      </c>
      <c r="L24" s="41">
        <v>3.26</v>
      </c>
      <c r="M24" s="41">
        <v>3.23</v>
      </c>
      <c r="N24" s="41">
        <f t="shared" si="0"/>
        <v>3.1430233390574887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4.25">
      <c r="A25" s="34">
        <v>2020</v>
      </c>
      <c r="B25" s="84">
        <v>3.2</v>
      </c>
      <c r="C25" s="84">
        <v>3.19</v>
      </c>
      <c r="D25" s="84">
        <v>3.17</v>
      </c>
      <c r="E25" s="84">
        <v>3.16</v>
      </c>
      <c r="F25" s="84">
        <v>3.13</v>
      </c>
      <c r="G25" s="84">
        <v>3.06</v>
      </c>
      <c r="H25" s="84">
        <v>3.01</v>
      </c>
      <c r="I25" s="84">
        <v>3.06</v>
      </c>
      <c r="J25" s="84">
        <v>3.14</v>
      </c>
      <c r="K25" s="84">
        <v>3.24</v>
      </c>
      <c r="L25" s="84">
        <v>3.26</v>
      </c>
      <c r="M25" s="84">
        <v>3.27</v>
      </c>
      <c r="N25" s="41">
        <f t="shared" si="0"/>
        <v>3.1575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14" ht="14.25">
      <c r="A26" s="34">
        <v>2021</v>
      </c>
      <c r="B26" s="84">
        <v>3.25</v>
      </c>
      <c r="C26" s="84">
        <v>3.26</v>
      </c>
      <c r="D26" s="84">
        <v>3.21</v>
      </c>
      <c r="E26" s="84">
        <v>3.18</v>
      </c>
      <c r="F26" s="84">
        <v>3.15</v>
      </c>
      <c r="G26" s="84">
        <v>3.09</v>
      </c>
      <c r="H26" s="84">
        <v>3.07</v>
      </c>
      <c r="I26" s="84">
        <v>3.09</v>
      </c>
      <c r="J26" s="84">
        <v>3.15</v>
      </c>
      <c r="K26" s="84">
        <v>3.22</v>
      </c>
      <c r="L26" s="84">
        <v>3.32</v>
      </c>
      <c r="M26" s="84">
        <v>3.31</v>
      </c>
      <c r="N26" s="41">
        <f t="shared" si="0"/>
        <v>3.1916666666666664</v>
      </c>
    </row>
    <row r="27" spans="1:14" ht="14.25">
      <c r="A27" s="34">
        <v>2022</v>
      </c>
      <c r="B27" s="41">
        <v>3.31</v>
      </c>
      <c r="C27" s="41">
        <v>3.29</v>
      </c>
      <c r="D27" s="41">
        <v>3.25</v>
      </c>
      <c r="E27" s="41">
        <v>3.23</v>
      </c>
      <c r="F27" s="41">
        <v>3.17</v>
      </c>
      <c r="G27" s="41">
        <v>3.1</v>
      </c>
      <c r="H27" s="41">
        <v>3.09</v>
      </c>
      <c r="I27" s="41">
        <v>3.11</v>
      </c>
      <c r="J27" s="41">
        <v>3.18</v>
      </c>
      <c r="K27" s="41">
        <v>3.28</v>
      </c>
      <c r="L27" s="41">
        <v>3.3</v>
      </c>
      <c r="M27" s="41">
        <v>3.31</v>
      </c>
      <c r="N27" s="41">
        <f t="shared" si="0"/>
        <v>3.2183333333333333</v>
      </c>
    </row>
    <row r="28" spans="1:14" ht="15" thickBot="1">
      <c r="A28" s="97">
        <v>2023</v>
      </c>
      <c r="B28" s="98">
        <v>3.27</v>
      </c>
      <c r="C28" s="98">
        <v>3.27</v>
      </c>
      <c r="D28" s="98">
        <v>3.26</v>
      </c>
      <c r="E28" s="98">
        <v>3.22</v>
      </c>
      <c r="F28" s="98">
        <v>3.19</v>
      </c>
      <c r="G28" s="98">
        <v>3.14</v>
      </c>
      <c r="H28" s="98">
        <v>3.1</v>
      </c>
      <c r="I28" s="98">
        <v>3.13</v>
      </c>
      <c r="J28" s="98">
        <v>3.18</v>
      </c>
      <c r="K28" s="98">
        <v>3.26</v>
      </c>
      <c r="L28" s="98">
        <v>3.31</v>
      </c>
      <c r="M28" s="98">
        <v>3.3</v>
      </c>
      <c r="N28" s="98">
        <f>AVERAGE(B28:M28)</f>
        <v>3.2191666666666667</v>
      </c>
    </row>
    <row r="29" spans="2:14" ht="14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4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H30"/>
  <sheetViews>
    <sheetView zoomScale="90" zoomScaleNormal="90" zoomScalePageLayoutView="0" workbookViewId="0" topLeftCell="A11">
      <selection activeCell="M28" sqref="M28"/>
    </sheetView>
  </sheetViews>
  <sheetFormatPr defaultColWidth="9.140625" defaultRowHeight="12.75"/>
  <cols>
    <col min="1" max="1" width="6.7109375" style="28" customWidth="1"/>
    <col min="2" max="17" width="9.140625" style="28" customWidth="1"/>
    <col min="18" max="18" width="11.28125" style="28" bestFit="1" customWidth="1"/>
    <col min="19" max="16384" width="9.140625" style="28" customWidth="1"/>
  </cols>
  <sheetData>
    <row r="1" ht="15.75">
      <c r="A1" s="36" t="s">
        <v>144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7"/>
      <c r="B4" s="101" t="s">
        <v>25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34" ht="14.25">
      <c r="A5" s="33">
        <v>2000</v>
      </c>
      <c r="B5" s="41">
        <v>5.6531323242385145</v>
      </c>
      <c r="C5" s="41">
        <v>5.6895213382561405</v>
      </c>
      <c r="D5" s="41">
        <v>5.68236981453732</v>
      </c>
      <c r="E5" s="41">
        <v>5.70416271599056</v>
      </c>
      <c r="F5" s="41">
        <v>5.72124524617356</v>
      </c>
      <c r="G5" s="41">
        <v>5.705644108434197</v>
      </c>
      <c r="H5" s="41">
        <v>5.6951391112216125</v>
      </c>
      <c r="I5" s="41">
        <v>5.685002393768243</v>
      </c>
      <c r="J5" s="41">
        <v>5.664649810551775</v>
      </c>
      <c r="K5" s="41">
        <v>5.674484152740361</v>
      </c>
      <c r="L5" s="41">
        <v>5.681107790879549</v>
      </c>
      <c r="M5" s="41">
        <v>5.679065934755473</v>
      </c>
      <c r="N5" s="41">
        <v>5.686293728462275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25">
      <c r="A6" s="32">
        <v>2001</v>
      </c>
      <c r="B6" s="41">
        <v>5.681807565301044</v>
      </c>
      <c r="C6" s="41">
        <v>5.690340047362528</v>
      </c>
      <c r="D6" s="41">
        <v>5.701466747212897</v>
      </c>
      <c r="E6" s="41">
        <v>5.711952743092521</v>
      </c>
      <c r="F6" s="41">
        <v>5.7300536216874605</v>
      </c>
      <c r="G6" s="41">
        <v>5.723531999006611</v>
      </c>
      <c r="H6" s="41">
        <v>5.731860172826506</v>
      </c>
      <c r="I6" s="41">
        <v>5.691080092985027</v>
      </c>
      <c r="J6" s="41">
        <v>5.69139818557858</v>
      </c>
      <c r="K6" s="41">
        <v>5.695299665963234</v>
      </c>
      <c r="L6" s="41">
        <v>5.6834813937740165</v>
      </c>
      <c r="M6" s="41">
        <v>5.694001009492073</v>
      </c>
      <c r="N6" s="41">
        <v>5.7021894370235415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14.25">
      <c r="A7" s="33">
        <v>2002</v>
      </c>
      <c r="B7" s="41">
        <v>5.659926633595748</v>
      </c>
      <c r="C7" s="41">
        <v>5.714073883738572</v>
      </c>
      <c r="D7" s="41">
        <v>5.721882672792971</v>
      </c>
      <c r="E7" s="41">
        <v>5.751578791767606</v>
      </c>
      <c r="F7" s="41">
        <v>5.740588000069064</v>
      </c>
      <c r="G7" s="41">
        <v>5.740617334541756</v>
      </c>
      <c r="H7" s="41">
        <v>5.721673632139597</v>
      </c>
      <c r="I7" s="41">
        <v>5.698561760835642</v>
      </c>
      <c r="J7" s="41">
        <v>5.696288263115597</v>
      </c>
      <c r="K7" s="41">
        <v>5.692413288675774</v>
      </c>
      <c r="L7" s="41">
        <v>5.680671658878415</v>
      </c>
      <c r="M7" s="41">
        <v>5.696953239331281</v>
      </c>
      <c r="N7" s="41">
        <v>5.709602429956836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14.25">
      <c r="A8" s="32">
        <v>2003</v>
      </c>
      <c r="B8" s="41">
        <v>5.711246478366995</v>
      </c>
      <c r="C8" s="41">
        <v>5.709323946502623</v>
      </c>
      <c r="D8" s="41">
        <v>5.711199269535721</v>
      </c>
      <c r="E8" s="41">
        <v>5.722036759292154</v>
      </c>
      <c r="F8" s="41">
        <v>5.7421052725413455</v>
      </c>
      <c r="G8" s="41">
        <v>5.728760309020236</v>
      </c>
      <c r="H8" s="41">
        <v>5.702616041728999</v>
      </c>
      <c r="I8" s="41">
        <v>5.6936341874173655</v>
      </c>
      <c r="J8" s="41">
        <v>5.689701503515912</v>
      </c>
      <c r="K8" s="41">
        <v>5.671584814653909</v>
      </c>
      <c r="L8" s="41">
        <v>5.691152905340528</v>
      </c>
      <c r="M8" s="41">
        <v>5.697424658826867</v>
      </c>
      <c r="N8" s="41">
        <v>5.705898845561889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14.25">
      <c r="A9" s="33">
        <v>2004</v>
      </c>
      <c r="B9" s="41">
        <v>5.706894837463028</v>
      </c>
      <c r="C9" s="41">
        <v>5.705020529632589</v>
      </c>
      <c r="D9" s="41">
        <v>5.703240581993983</v>
      </c>
      <c r="E9" s="41">
        <v>5.714698983022247</v>
      </c>
      <c r="F9" s="41">
        <v>5.715959174321491</v>
      </c>
      <c r="G9" s="41">
        <v>5.714282045995801</v>
      </c>
      <c r="H9" s="41">
        <v>5.705707234881219</v>
      </c>
      <c r="I9" s="41">
        <v>5.711643635135763</v>
      </c>
      <c r="J9" s="41">
        <v>5.691425293440831</v>
      </c>
      <c r="K9" s="41">
        <v>5.692803402907246</v>
      </c>
      <c r="L9" s="41">
        <v>5.682488226787307</v>
      </c>
      <c r="M9" s="41">
        <v>5.682567668344351</v>
      </c>
      <c r="N9" s="41">
        <v>5.702227634493821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4.25">
      <c r="A10" s="32">
        <v>2005</v>
      </c>
      <c r="B10" s="41">
        <v>5.695753761593378</v>
      </c>
      <c r="C10" s="41">
        <v>5.70982548721528</v>
      </c>
      <c r="D10" s="41">
        <v>5.726913122783516</v>
      </c>
      <c r="E10" s="41">
        <v>5.721204850177795</v>
      </c>
      <c r="F10" s="41">
        <v>5.734707963117625</v>
      </c>
      <c r="G10" s="41">
        <v>5.740980699175183</v>
      </c>
      <c r="H10" s="41">
        <v>5.726776245238548</v>
      </c>
      <c r="I10" s="41">
        <v>5.705019502011037</v>
      </c>
      <c r="J10" s="41">
        <v>5.691739837886738</v>
      </c>
      <c r="K10" s="41">
        <v>5.681904266168723</v>
      </c>
      <c r="L10" s="41">
        <v>5.696112281852639</v>
      </c>
      <c r="M10" s="41">
        <v>5.6927409643980615</v>
      </c>
      <c r="N10" s="41">
        <v>5.710306581801544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14.25">
      <c r="A11" s="32">
        <v>2006</v>
      </c>
      <c r="B11" s="41">
        <v>5.725998831824263</v>
      </c>
      <c r="C11" s="41">
        <v>5.731769515753062</v>
      </c>
      <c r="D11" s="41">
        <v>5.7376494100524</v>
      </c>
      <c r="E11" s="41">
        <v>5.734737863897657</v>
      </c>
      <c r="F11" s="41">
        <v>5.727292121900323</v>
      </c>
      <c r="G11" s="41">
        <v>5.710111326401147</v>
      </c>
      <c r="H11" s="41">
        <v>5.7014454346235794</v>
      </c>
      <c r="I11" s="41">
        <v>5.686489356302831</v>
      </c>
      <c r="J11" s="41">
        <v>5.687022786289589</v>
      </c>
      <c r="K11" s="41">
        <v>5.697314998857359</v>
      </c>
      <c r="L11" s="41">
        <v>5.6824728339882125</v>
      </c>
      <c r="M11" s="41">
        <v>5.683488395615482</v>
      </c>
      <c r="N11" s="41">
        <v>5.708816072958825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1:34" ht="14.25">
      <c r="A12" s="32">
        <v>2007</v>
      </c>
      <c r="B12" s="41">
        <v>5.703890219698339</v>
      </c>
      <c r="C12" s="41">
        <v>5.703893940507567</v>
      </c>
      <c r="D12" s="41">
        <v>5.706504882224132</v>
      </c>
      <c r="E12" s="41">
        <v>5.707659994780937</v>
      </c>
      <c r="F12" s="41">
        <v>5.704540047994234</v>
      </c>
      <c r="G12" s="41">
        <v>5.707017225188433</v>
      </c>
      <c r="H12" s="41">
        <v>5.721500648215088</v>
      </c>
      <c r="I12" s="41">
        <v>5.724423151750006</v>
      </c>
      <c r="J12" s="41">
        <v>5.718065261370621</v>
      </c>
      <c r="K12" s="41">
        <v>5.696792851053178</v>
      </c>
      <c r="L12" s="41">
        <v>5.700149813795424</v>
      </c>
      <c r="M12" s="41">
        <v>5.706010356159375</v>
      </c>
      <c r="N12" s="41">
        <v>5.708370699394777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ht="14.25">
      <c r="A13" s="33">
        <v>2008</v>
      </c>
      <c r="B13" s="41">
        <v>5.701166077523417</v>
      </c>
      <c r="C13" s="41">
        <v>5.698103257645958</v>
      </c>
      <c r="D13" s="41">
        <v>5.686201457853727</v>
      </c>
      <c r="E13" s="41">
        <v>5.69641344552331</v>
      </c>
      <c r="F13" s="41">
        <v>5.723259456759114</v>
      </c>
      <c r="G13" s="41">
        <v>5.7173526576934846</v>
      </c>
      <c r="H13" s="41">
        <v>5.716295345711893</v>
      </c>
      <c r="I13" s="41">
        <v>5.697726380822944</v>
      </c>
      <c r="J13" s="41">
        <v>5.685918343166959</v>
      </c>
      <c r="K13" s="41">
        <v>5.67897697261073</v>
      </c>
      <c r="L13" s="41">
        <v>5.68527765319156</v>
      </c>
      <c r="M13" s="41">
        <v>5.6832000637672495</v>
      </c>
      <c r="N13" s="41">
        <v>5.697490926022528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ht="14.25">
      <c r="A14" s="32">
        <v>2009</v>
      </c>
      <c r="B14" s="41">
        <v>5.687795689253662</v>
      </c>
      <c r="C14" s="41">
        <v>5.687160851212092</v>
      </c>
      <c r="D14" s="41">
        <v>5.68598189569895</v>
      </c>
      <c r="E14" s="41">
        <v>5.693734325883091</v>
      </c>
      <c r="F14" s="41">
        <v>5.702976411007743</v>
      </c>
      <c r="G14" s="41">
        <v>5.705774146165619</v>
      </c>
      <c r="H14" s="41">
        <v>5.693032240186855</v>
      </c>
      <c r="I14" s="41">
        <v>5.687347964358526</v>
      </c>
      <c r="J14" s="41">
        <v>5.679251057455247</v>
      </c>
      <c r="K14" s="41">
        <v>5.699017729297112</v>
      </c>
      <c r="L14" s="41">
        <v>5.695022438621899</v>
      </c>
      <c r="M14" s="41">
        <v>5.712344641555993</v>
      </c>
      <c r="N14" s="41">
        <v>5.694119949224732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ht="14.25">
      <c r="A15" s="33">
        <v>2010</v>
      </c>
      <c r="B15" s="41">
        <v>5.701415173061395</v>
      </c>
      <c r="C15" s="41">
        <v>5.703442431490146</v>
      </c>
      <c r="D15" s="41">
        <v>5.705454590183475</v>
      </c>
      <c r="E15" s="41">
        <v>5.7165420718751445</v>
      </c>
      <c r="F15" s="41">
        <v>5.727700070648445</v>
      </c>
      <c r="G15" s="41">
        <v>5.724090062939172</v>
      </c>
      <c r="H15" s="41">
        <v>5.7066884160704445</v>
      </c>
      <c r="I15" s="41">
        <v>5.690262418572654</v>
      </c>
      <c r="J15" s="41">
        <v>5.693707519543872</v>
      </c>
      <c r="K15" s="41">
        <v>5.6941470041466085</v>
      </c>
      <c r="L15" s="41">
        <v>5.701568676019283</v>
      </c>
      <c r="M15" s="41">
        <v>5.70248823312635</v>
      </c>
      <c r="N15" s="41">
        <v>5.705625555639749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14.25">
      <c r="A16" s="32">
        <v>2011</v>
      </c>
      <c r="B16" s="41">
        <v>5.709998036027426</v>
      </c>
      <c r="C16" s="41">
        <v>5.715806935508729</v>
      </c>
      <c r="D16" s="41">
        <v>5.717112976387724</v>
      </c>
      <c r="E16" s="41">
        <v>5.725133524120133</v>
      </c>
      <c r="F16" s="41">
        <v>5.735608532663536</v>
      </c>
      <c r="G16" s="41">
        <v>5.72918509418557</v>
      </c>
      <c r="H16" s="41">
        <v>5.71225147758444</v>
      </c>
      <c r="I16" s="41">
        <v>5.688867852910565</v>
      </c>
      <c r="J16" s="41">
        <v>5.696986828996589</v>
      </c>
      <c r="K16" s="41">
        <v>5.702769720731295</v>
      </c>
      <c r="L16" s="41">
        <v>5.701237092140095</v>
      </c>
      <c r="M16" s="41">
        <v>5.715906677612353</v>
      </c>
      <c r="N16" s="41">
        <v>5.712572062405705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ht="14.25">
      <c r="A17" s="33">
        <v>2012</v>
      </c>
      <c r="B17" s="41">
        <v>5.727503596345206</v>
      </c>
      <c r="C17" s="41">
        <v>5.74625512598869</v>
      </c>
      <c r="D17" s="41">
        <v>5.744282266355178</v>
      </c>
      <c r="E17" s="41">
        <v>5.755224623193641</v>
      </c>
      <c r="F17" s="41">
        <v>5.757001305493631</v>
      </c>
      <c r="G17" s="41">
        <v>5.750304393867689</v>
      </c>
      <c r="H17" s="41">
        <v>5.74753360179787</v>
      </c>
      <c r="I17" s="41">
        <v>5.746219460997962</v>
      </c>
      <c r="J17" s="41">
        <v>5.734696117474869</v>
      </c>
      <c r="K17" s="41">
        <v>5.730889755707545</v>
      </c>
      <c r="L17" s="41">
        <v>5.727743293975866</v>
      </c>
      <c r="M17" s="41">
        <v>5.747792070166624</v>
      </c>
      <c r="N17" s="41">
        <v>5.742953800947064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4.25">
      <c r="A18" s="32">
        <v>2013</v>
      </c>
      <c r="B18" s="41">
        <v>5.750665680936913</v>
      </c>
      <c r="C18" s="41">
        <v>5.746510961101691</v>
      </c>
      <c r="D18" s="41">
        <v>5.746344301491228</v>
      </c>
      <c r="E18" s="41">
        <v>5.739309672181425</v>
      </c>
      <c r="F18" s="41">
        <v>5.750443502765978</v>
      </c>
      <c r="G18" s="41">
        <v>5.749696419644415</v>
      </c>
      <c r="H18" s="41">
        <v>5.7398312760088235</v>
      </c>
      <c r="I18" s="41">
        <v>5.737489988535083</v>
      </c>
      <c r="J18" s="41">
        <v>5.723891302633264</v>
      </c>
      <c r="K18" s="41">
        <v>5.718746592813699</v>
      </c>
      <c r="L18" s="41">
        <v>5.7090828292846005</v>
      </c>
      <c r="M18" s="41">
        <v>5.703416345445201</v>
      </c>
      <c r="N18" s="41">
        <v>5.73461907273686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14.25">
      <c r="A19" s="33">
        <v>2014</v>
      </c>
      <c r="B19" s="41">
        <v>5.708265609698722</v>
      </c>
      <c r="C19" s="41">
        <v>5.712206484892205</v>
      </c>
      <c r="D19" s="41">
        <v>5.7194176828590475</v>
      </c>
      <c r="E19" s="41">
        <v>5.72490780616054</v>
      </c>
      <c r="F19" s="41">
        <v>5.731548929691759</v>
      </c>
      <c r="G19" s="41">
        <v>5.731375500919766</v>
      </c>
      <c r="H19" s="41">
        <v>5.731698287586292</v>
      </c>
      <c r="I19" s="41">
        <v>5.732740884262935</v>
      </c>
      <c r="J19" s="41">
        <v>5.723384499707435</v>
      </c>
      <c r="K19" s="41">
        <v>5.719552231906691</v>
      </c>
      <c r="L19" s="41">
        <v>5.714672617595754</v>
      </c>
      <c r="M19" s="41">
        <v>5.722633456283467</v>
      </c>
      <c r="N19" s="41">
        <v>5.722700332630384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4.25">
      <c r="A20" s="32">
        <v>2015</v>
      </c>
      <c r="B20" s="41">
        <v>5.7385203249213035</v>
      </c>
      <c r="C20" s="41">
        <v>5.737727285774766</v>
      </c>
      <c r="D20" s="41">
        <v>5.727589610846271</v>
      </c>
      <c r="E20" s="41">
        <v>5.7336870048433495</v>
      </c>
      <c r="F20" s="41">
        <v>5.743677002527723</v>
      </c>
      <c r="G20" s="41">
        <v>5.758149763960237</v>
      </c>
      <c r="H20" s="41">
        <v>5.747618876405594</v>
      </c>
      <c r="I20" s="41">
        <v>5.739329899347227</v>
      </c>
      <c r="J20" s="41">
        <v>5.732378254566103</v>
      </c>
      <c r="K20" s="41">
        <v>5.728143159073844</v>
      </c>
      <c r="L20" s="41">
        <v>5.727844962243468</v>
      </c>
      <c r="M20" s="41">
        <v>5.729422737365325</v>
      </c>
      <c r="N20" s="41">
        <v>5.737007406822934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4.25">
      <c r="A21" s="33">
        <v>2016</v>
      </c>
      <c r="B21" s="41">
        <v>5.7390367357242535</v>
      </c>
      <c r="C21" s="41">
        <v>5.748736677754125</v>
      </c>
      <c r="D21" s="41">
        <v>5.763292368746562</v>
      </c>
      <c r="E21" s="41">
        <v>5.7716477556270664</v>
      </c>
      <c r="F21" s="41">
        <v>5.771424078575099</v>
      </c>
      <c r="G21" s="41">
        <v>6.0454326731369346</v>
      </c>
      <c r="H21" s="41">
        <v>5.772660957807343</v>
      </c>
      <c r="I21" s="41">
        <v>5.754205484096613</v>
      </c>
      <c r="J21" s="41">
        <v>5.727695933272394</v>
      </c>
      <c r="K21" s="41">
        <v>5.753228726652184</v>
      </c>
      <c r="L21" s="41">
        <v>5.76411268199009</v>
      </c>
      <c r="M21" s="41">
        <v>5.762036831963672</v>
      </c>
      <c r="N21" s="41">
        <v>5.781125908778861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4.25">
      <c r="A22" s="33">
        <v>2017</v>
      </c>
      <c r="B22" s="41">
        <v>5.741624227685689</v>
      </c>
      <c r="C22" s="41">
        <v>5.756980234260226</v>
      </c>
      <c r="D22" s="41">
        <v>5.7515560420887</v>
      </c>
      <c r="E22" s="41">
        <v>5.749603721528103</v>
      </c>
      <c r="F22" s="41">
        <v>5.76202486566202</v>
      </c>
      <c r="G22" s="41">
        <v>5.752514762335548</v>
      </c>
      <c r="H22" s="41">
        <v>5.75</v>
      </c>
      <c r="I22" s="41">
        <v>5.752833306706338</v>
      </c>
      <c r="J22" s="41">
        <v>5.769211159241597</v>
      </c>
      <c r="K22" s="41">
        <v>5.755978236815268</v>
      </c>
      <c r="L22" s="41">
        <v>5.752557123810997</v>
      </c>
      <c r="M22" s="41">
        <v>5.751141812110639</v>
      </c>
      <c r="N22" s="41">
        <v>5.75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4.25">
      <c r="A23" s="33">
        <v>2018</v>
      </c>
      <c r="B23" s="41">
        <v>5.75817125937425</v>
      </c>
      <c r="C23" s="41">
        <v>5.784783911094118</v>
      </c>
      <c r="D23" s="41">
        <v>5.7867252290456515</v>
      </c>
      <c r="E23" s="41">
        <v>5.782128926544149</v>
      </c>
      <c r="F23" s="41">
        <v>5.785144585284783</v>
      </c>
      <c r="G23" s="41">
        <v>5.779975490126662</v>
      </c>
      <c r="H23" s="41">
        <v>5.766731592799988</v>
      </c>
      <c r="I23" s="41">
        <v>5.77</v>
      </c>
      <c r="J23" s="41">
        <v>5.738914996201359</v>
      </c>
      <c r="K23" s="41">
        <v>5.74</v>
      </c>
      <c r="L23" s="41">
        <v>5.75018904248461</v>
      </c>
      <c r="M23" s="41">
        <v>5.75</v>
      </c>
      <c r="N23" s="41">
        <v>5.77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4.25">
      <c r="A24" s="33">
        <v>2019</v>
      </c>
      <c r="B24" s="41">
        <v>5.7674571113510344</v>
      </c>
      <c r="C24" s="41">
        <v>5.770496474673212</v>
      </c>
      <c r="D24" s="41">
        <v>5.78</v>
      </c>
      <c r="E24" s="41">
        <v>5.78</v>
      </c>
      <c r="F24" s="41">
        <v>5.78</v>
      </c>
      <c r="G24" s="41">
        <v>5.79</v>
      </c>
      <c r="H24" s="41">
        <v>5.71</v>
      </c>
      <c r="I24" s="41">
        <v>5.76</v>
      </c>
      <c r="J24" s="41">
        <v>5.75</v>
      </c>
      <c r="K24" s="41">
        <v>5.75</v>
      </c>
      <c r="L24" s="41">
        <v>5.76</v>
      </c>
      <c r="M24" s="41">
        <v>5.76</v>
      </c>
      <c r="N24" s="41">
        <v>5.76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4.25">
      <c r="A25" s="34">
        <v>2020</v>
      </c>
      <c r="B25" s="84">
        <v>5.77</v>
      </c>
      <c r="C25" s="84">
        <v>5.78</v>
      </c>
      <c r="D25" s="84">
        <v>5.78</v>
      </c>
      <c r="E25" s="84">
        <v>5.79</v>
      </c>
      <c r="F25" s="84">
        <v>5.79</v>
      </c>
      <c r="G25" s="84">
        <v>5.78</v>
      </c>
      <c r="H25" s="84">
        <v>5.78</v>
      </c>
      <c r="I25" s="84">
        <v>5.76</v>
      </c>
      <c r="J25" s="84">
        <v>5.76</v>
      </c>
      <c r="K25" s="84">
        <v>5.77</v>
      </c>
      <c r="L25" s="84">
        <v>5.77</v>
      </c>
      <c r="M25" s="84">
        <v>5.77</v>
      </c>
      <c r="N25" s="84">
        <v>5.78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14" ht="14.25">
      <c r="A26" s="34">
        <v>2021</v>
      </c>
      <c r="B26" s="84">
        <v>5.78</v>
      </c>
      <c r="C26" s="84">
        <v>5.79</v>
      </c>
      <c r="D26" s="84">
        <v>5.78</v>
      </c>
      <c r="E26" s="84">
        <v>5.78</v>
      </c>
      <c r="F26" s="84">
        <v>5.79</v>
      </c>
      <c r="G26" s="84">
        <v>5.79</v>
      </c>
      <c r="H26" s="84">
        <v>5.78</v>
      </c>
      <c r="I26" s="84">
        <v>5.76</v>
      </c>
      <c r="J26" s="84">
        <v>5.75</v>
      </c>
      <c r="K26" s="84">
        <v>5.76</v>
      </c>
      <c r="L26" s="84">
        <v>5.77</v>
      </c>
      <c r="M26" s="84">
        <v>5.77</v>
      </c>
      <c r="N26" s="84">
        <v>5.77</v>
      </c>
    </row>
    <row r="27" spans="1:14" ht="14.25">
      <c r="A27" s="34">
        <v>2022</v>
      </c>
      <c r="B27" s="84">
        <v>5.78</v>
      </c>
      <c r="C27" s="84">
        <v>5.77</v>
      </c>
      <c r="D27" s="84">
        <v>5.78</v>
      </c>
      <c r="E27" s="84">
        <v>5.79</v>
      </c>
      <c r="F27" s="84">
        <v>5.79</v>
      </c>
      <c r="G27" s="84">
        <v>5.79</v>
      </c>
      <c r="H27" s="84">
        <v>5.78</v>
      </c>
      <c r="I27" s="84">
        <v>5.77</v>
      </c>
      <c r="J27" s="84">
        <v>5.76</v>
      </c>
      <c r="K27" s="84">
        <v>5.77</v>
      </c>
      <c r="L27" s="84">
        <v>5.77</v>
      </c>
      <c r="M27" s="84">
        <v>5.77</v>
      </c>
      <c r="N27" s="84">
        <v>5.78</v>
      </c>
    </row>
    <row r="28" spans="1:14" ht="15" thickBot="1">
      <c r="A28" s="97">
        <v>2023</v>
      </c>
      <c r="B28" s="98">
        <v>5.78</v>
      </c>
      <c r="C28" s="98">
        <v>5.78</v>
      </c>
      <c r="D28" s="98">
        <v>5.78</v>
      </c>
      <c r="E28" s="98">
        <v>5.79</v>
      </c>
      <c r="F28" s="98">
        <v>5.79</v>
      </c>
      <c r="G28" s="98">
        <v>5.8</v>
      </c>
      <c r="H28" s="98">
        <v>5.79</v>
      </c>
      <c r="I28" s="98">
        <v>5.85</v>
      </c>
      <c r="J28" s="98">
        <v>5.78</v>
      </c>
      <c r="K28" s="98">
        <v>5.79</v>
      </c>
      <c r="L28" s="98">
        <v>5.77</v>
      </c>
      <c r="M28" s="98">
        <v>5.78</v>
      </c>
      <c r="N28" s="98">
        <v>5.79</v>
      </c>
    </row>
    <row r="29" spans="2:14" ht="14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4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H31"/>
  <sheetViews>
    <sheetView zoomScale="90" zoomScaleNormal="90" zoomScalePageLayoutView="0" workbookViewId="0" topLeftCell="A11">
      <selection activeCell="M29" sqref="M29"/>
    </sheetView>
  </sheetViews>
  <sheetFormatPr defaultColWidth="9.140625" defaultRowHeight="12.75"/>
  <cols>
    <col min="1" max="1" width="6.7109375" style="28" customWidth="1"/>
    <col min="2" max="16384" width="9.140625" style="28" customWidth="1"/>
  </cols>
  <sheetData>
    <row r="1" ht="15.75">
      <c r="A1" s="36" t="s">
        <v>145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7"/>
      <c r="B4" s="101" t="s">
        <v>25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34" ht="14.25">
      <c r="A5" s="33">
        <v>2000</v>
      </c>
      <c r="B5" s="39">
        <v>279</v>
      </c>
      <c r="C5" s="39">
        <v>304</v>
      </c>
      <c r="D5" s="39">
        <v>301</v>
      </c>
      <c r="E5" s="39">
        <v>300</v>
      </c>
      <c r="F5" s="39">
        <v>310</v>
      </c>
      <c r="G5" s="39">
        <v>330</v>
      </c>
      <c r="H5" s="39">
        <v>354</v>
      </c>
      <c r="I5" s="39">
        <v>364</v>
      </c>
      <c r="J5" s="39">
        <v>343</v>
      </c>
      <c r="K5" s="39">
        <v>305</v>
      </c>
      <c r="L5" s="39">
        <v>279</v>
      </c>
      <c r="M5" s="39">
        <v>287</v>
      </c>
      <c r="N5" s="39">
        <f>AVERAGE(B5:M5)</f>
        <v>313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25">
      <c r="A6" s="32">
        <v>2001</v>
      </c>
      <c r="B6" s="39">
        <v>304</v>
      </c>
      <c r="C6" s="39">
        <v>292</v>
      </c>
      <c r="D6" s="39">
        <v>292</v>
      </c>
      <c r="E6" s="39">
        <v>297</v>
      </c>
      <c r="F6" s="39">
        <v>304</v>
      </c>
      <c r="G6" s="39">
        <v>318</v>
      </c>
      <c r="H6" s="39">
        <v>343</v>
      </c>
      <c r="I6" s="39">
        <v>380</v>
      </c>
      <c r="J6" s="39">
        <v>353</v>
      </c>
      <c r="K6" s="39">
        <v>310</v>
      </c>
      <c r="L6" s="39">
        <v>282</v>
      </c>
      <c r="M6" s="39">
        <v>281</v>
      </c>
      <c r="N6" s="39">
        <f aca="true" t="shared" si="0" ref="N6:N26">AVERAGE(B6:M6)</f>
        <v>313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14.25">
      <c r="A7" s="33">
        <v>2002</v>
      </c>
      <c r="B7" s="39">
        <v>289</v>
      </c>
      <c r="C7" s="39">
        <v>286</v>
      </c>
      <c r="D7" s="39">
        <v>287</v>
      </c>
      <c r="E7" s="39">
        <v>290</v>
      </c>
      <c r="F7" s="39">
        <v>285</v>
      </c>
      <c r="G7" s="39">
        <v>296</v>
      </c>
      <c r="H7" s="39">
        <v>343</v>
      </c>
      <c r="I7" s="39">
        <v>369</v>
      </c>
      <c r="J7" s="39">
        <v>342</v>
      </c>
      <c r="K7" s="39">
        <v>306</v>
      </c>
      <c r="L7" s="39">
        <v>286</v>
      </c>
      <c r="M7" s="39">
        <v>280</v>
      </c>
      <c r="N7" s="39">
        <f t="shared" si="0"/>
        <v>304.9166666666667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14.25">
      <c r="A8" s="32">
        <v>2003</v>
      </c>
      <c r="B8" s="39">
        <v>285</v>
      </c>
      <c r="C8" s="39">
        <v>302</v>
      </c>
      <c r="D8" s="39">
        <v>306</v>
      </c>
      <c r="E8" s="39">
        <v>297</v>
      </c>
      <c r="F8" s="39">
        <v>295</v>
      </c>
      <c r="G8" s="39">
        <v>308</v>
      </c>
      <c r="H8" s="39">
        <v>342</v>
      </c>
      <c r="I8" s="39">
        <v>346</v>
      </c>
      <c r="J8" s="39">
        <v>332</v>
      </c>
      <c r="K8" s="39">
        <v>295</v>
      </c>
      <c r="L8" s="39">
        <v>274</v>
      </c>
      <c r="M8" s="39">
        <v>272</v>
      </c>
      <c r="N8" s="39">
        <f t="shared" si="0"/>
        <v>304.5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14.25">
      <c r="A9" s="33">
        <v>2004</v>
      </c>
      <c r="B9" s="39">
        <v>270</v>
      </c>
      <c r="C9" s="39">
        <v>277</v>
      </c>
      <c r="D9" s="39">
        <v>284</v>
      </c>
      <c r="E9" s="39">
        <v>287</v>
      </c>
      <c r="F9" s="39">
        <v>281</v>
      </c>
      <c r="G9" s="39">
        <v>304</v>
      </c>
      <c r="H9" s="39">
        <v>318</v>
      </c>
      <c r="I9" s="39">
        <v>311</v>
      </c>
      <c r="J9" s="39">
        <v>295</v>
      </c>
      <c r="K9" s="39">
        <v>258</v>
      </c>
      <c r="L9" s="39">
        <v>246</v>
      </c>
      <c r="M9" s="39">
        <v>241</v>
      </c>
      <c r="N9" s="39">
        <f t="shared" si="0"/>
        <v>281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4.25">
      <c r="A10" s="32">
        <v>2005</v>
      </c>
      <c r="B10" s="39">
        <v>253</v>
      </c>
      <c r="C10" s="39">
        <v>262</v>
      </c>
      <c r="D10" s="39">
        <v>255</v>
      </c>
      <c r="E10" s="39">
        <v>258</v>
      </c>
      <c r="F10" s="39">
        <v>255</v>
      </c>
      <c r="G10" s="39">
        <v>275</v>
      </c>
      <c r="H10" s="39">
        <v>310</v>
      </c>
      <c r="I10" s="39">
        <v>341</v>
      </c>
      <c r="J10" s="39">
        <v>314</v>
      </c>
      <c r="K10" s="39">
        <v>286</v>
      </c>
      <c r="L10" s="39">
        <v>260</v>
      </c>
      <c r="M10" s="39">
        <v>259</v>
      </c>
      <c r="N10" s="39">
        <f t="shared" si="0"/>
        <v>277.3333333333333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14.25">
      <c r="A11" s="32">
        <v>2006</v>
      </c>
      <c r="B11" s="39">
        <v>267</v>
      </c>
      <c r="C11" s="39">
        <v>258</v>
      </c>
      <c r="D11" s="39">
        <v>257</v>
      </c>
      <c r="E11" s="39">
        <v>256</v>
      </c>
      <c r="F11" s="39">
        <v>254</v>
      </c>
      <c r="G11" s="39">
        <v>278</v>
      </c>
      <c r="H11" s="39">
        <v>305</v>
      </c>
      <c r="I11" s="39">
        <v>331</v>
      </c>
      <c r="J11" s="39">
        <v>311</v>
      </c>
      <c r="K11" s="39">
        <v>280</v>
      </c>
      <c r="L11" s="39">
        <v>258</v>
      </c>
      <c r="M11" s="39">
        <v>256</v>
      </c>
      <c r="N11" s="39">
        <f t="shared" si="0"/>
        <v>275.9166666666667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1:34" ht="14.25">
      <c r="A12" s="32">
        <v>2007</v>
      </c>
      <c r="B12" s="39">
        <v>255</v>
      </c>
      <c r="C12" s="39">
        <v>266</v>
      </c>
      <c r="D12" s="39">
        <v>275</v>
      </c>
      <c r="E12" s="39">
        <v>266</v>
      </c>
      <c r="F12" s="39">
        <v>264</v>
      </c>
      <c r="G12" s="39">
        <v>283</v>
      </c>
      <c r="H12" s="39">
        <v>296</v>
      </c>
      <c r="I12" s="39">
        <v>316</v>
      </c>
      <c r="J12" s="39">
        <v>306</v>
      </c>
      <c r="K12" s="39">
        <v>282</v>
      </c>
      <c r="L12" s="39">
        <v>256</v>
      </c>
      <c r="M12" s="39">
        <v>248</v>
      </c>
      <c r="N12" s="39">
        <f t="shared" si="0"/>
        <v>276.0833333333333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ht="14.25">
      <c r="A13" s="33">
        <v>2008</v>
      </c>
      <c r="B13" s="39">
        <v>247</v>
      </c>
      <c r="C13" s="39">
        <v>257</v>
      </c>
      <c r="D13" s="39">
        <v>258</v>
      </c>
      <c r="E13" s="39">
        <v>255</v>
      </c>
      <c r="F13" s="39">
        <v>248</v>
      </c>
      <c r="G13" s="39">
        <v>271</v>
      </c>
      <c r="H13" s="39">
        <v>291</v>
      </c>
      <c r="I13" s="39">
        <v>291</v>
      </c>
      <c r="J13" s="39">
        <v>277</v>
      </c>
      <c r="K13" s="39">
        <v>251</v>
      </c>
      <c r="L13" s="39">
        <v>243</v>
      </c>
      <c r="M13" s="39">
        <v>230</v>
      </c>
      <c r="N13" s="39">
        <f t="shared" si="0"/>
        <v>259.9166666666667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ht="14.25">
      <c r="A14" s="32">
        <v>2009</v>
      </c>
      <c r="B14" s="39">
        <v>236</v>
      </c>
      <c r="C14" s="39">
        <v>237</v>
      </c>
      <c r="D14" s="39">
        <v>231</v>
      </c>
      <c r="E14" s="39">
        <v>224</v>
      </c>
      <c r="F14" s="39">
        <v>225</v>
      </c>
      <c r="G14" s="39">
        <v>234</v>
      </c>
      <c r="H14" s="39">
        <v>254</v>
      </c>
      <c r="I14" s="39">
        <v>258</v>
      </c>
      <c r="J14" s="39">
        <v>239</v>
      </c>
      <c r="K14" s="39">
        <v>222</v>
      </c>
      <c r="L14" s="39">
        <v>214</v>
      </c>
      <c r="M14" s="39">
        <v>211</v>
      </c>
      <c r="N14" s="39">
        <f t="shared" si="0"/>
        <v>232.08333333333334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ht="14.25">
      <c r="A15" s="33">
        <v>2010</v>
      </c>
      <c r="B15" s="39">
        <v>218</v>
      </c>
      <c r="C15" s="39">
        <v>220</v>
      </c>
      <c r="D15" s="39">
        <v>220</v>
      </c>
      <c r="E15" s="39">
        <v>216</v>
      </c>
      <c r="F15" s="39">
        <v>214</v>
      </c>
      <c r="G15" s="39">
        <v>238</v>
      </c>
      <c r="H15" s="39">
        <v>254</v>
      </c>
      <c r="I15" s="39">
        <v>262</v>
      </c>
      <c r="J15" s="39">
        <v>242</v>
      </c>
      <c r="K15" s="39">
        <v>216</v>
      </c>
      <c r="L15" s="39">
        <v>201</v>
      </c>
      <c r="M15" s="39">
        <v>203</v>
      </c>
      <c r="N15" s="39">
        <f t="shared" si="0"/>
        <v>225.33333333333334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14.25">
      <c r="A16" s="32">
        <v>2011</v>
      </c>
      <c r="B16" s="39">
        <v>206</v>
      </c>
      <c r="C16" s="39">
        <v>201</v>
      </c>
      <c r="D16" s="39">
        <v>197</v>
      </c>
      <c r="E16" s="39">
        <v>200</v>
      </c>
      <c r="F16" s="39">
        <v>213</v>
      </c>
      <c r="G16" s="39">
        <v>228</v>
      </c>
      <c r="H16" s="39">
        <v>246</v>
      </c>
      <c r="I16" s="39">
        <v>262</v>
      </c>
      <c r="J16" s="39">
        <v>238</v>
      </c>
      <c r="K16" s="39">
        <v>216</v>
      </c>
      <c r="L16" s="39">
        <v>200</v>
      </c>
      <c r="M16" s="39">
        <v>195</v>
      </c>
      <c r="N16" s="39">
        <f t="shared" si="0"/>
        <v>216.83333333333334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ht="14.25">
      <c r="A17" s="33">
        <v>2012</v>
      </c>
      <c r="B17" s="39">
        <v>194</v>
      </c>
      <c r="C17" s="39">
        <v>193</v>
      </c>
      <c r="D17" s="39">
        <v>193</v>
      </c>
      <c r="E17" s="39">
        <v>190</v>
      </c>
      <c r="F17" s="39">
        <v>192</v>
      </c>
      <c r="G17" s="39">
        <v>201</v>
      </c>
      <c r="H17" s="39">
        <v>220</v>
      </c>
      <c r="I17" s="39">
        <v>222</v>
      </c>
      <c r="J17" s="39">
        <v>210</v>
      </c>
      <c r="K17" s="39">
        <v>191</v>
      </c>
      <c r="L17" s="39">
        <v>182</v>
      </c>
      <c r="M17" s="39">
        <v>186</v>
      </c>
      <c r="N17" s="39">
        <f t="shared" si="0"/>
        <v>197.83333333333334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4.25">
      <c r="A18" s="32">
        <v>2013</v>
      </c>
      <c r="B18" s="39">
        <v>185</v>
      </c>
      <c r="C18" s="39">
        <v>188</v>
      </c>
      <c r="D18" s="39">
        <v>187</v>
      </c>
      <c r="E18" s="39">
        <v>186</v>
      </c>
      <c r="F18" s="39">
        <v>190</v>
      </c>
      <c r="G18" s="39">
        <v>202</v>
      </c>
      <c r="H18" s="39">
        <v>228</v>
      </c>
      <c r="I18" s="39">
        <v>221</v>
      </c>
      <c r="J18" s="39">
        <v>217</v>
      </c>
      <c r="K18" s="39">
        <v>197</v>
      </c>
      <c r="L18" s="39">
        <v>179</v>
      </c>
      <c r="M18" s="39">
        <v>177</v>
      </c>
      <c r="N18" s="39">
        <f t="shared" si="0"/>
        <v>196.41666666666666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14.25">
      <c r="A19" s="33">
        <v>2014</v>
      </c>
      <c r="B19" s="39">
        <v>188</v>
      </c>
      <c r="C19" s="39">
        <v>201</v>
      </c>
      <c r="D19" s="39">
        <v>196</v>
      </c>
      <c r="E19" s="39">
        <v>190</v>
      </c>
      <c r="F19" s="39">
        <v>191</v>
      </c>
      <c r="G19" s="39">
        <v>202</v>
      </c>
      <c r="H19" s="39">
        <v>214</v>
      </c>
      <c r="I19" s="39">
        <v>210</v>
      </c>
      <c r="J19" s="39">
        <v>206</v>
      </c>
      <c r="K19" s="39">
        <v>190</v>
      </c>
      <c r="L19" s="39">
        <v>179</v>
      </c>
      <c r="M19" s="39">
        <v>180</v>
      </c>
      <c r="N19" s="39">
        <f t="shared" si="0"/>
        <v>195.58333333333334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4.25">
      <c r="A20" s="32">
        <v>2015</v>
      </c>
      <c r="B20" s="39">
        <v>215</v>
      </c>
      <c r="C20" s="39">
        <v>207</v>
      </c>
      <c r="D20" s="39">
        <v>191</v>
      </c>
      <c r="E20" s="39">
        <v>182</v>
      </c>
      <c r="F20" s="39">
        <v>179</v>
      </c>
      <c r="G20" s="39">
        <v>193</v>
      </c>
      <c r="H20" s="39">
        <v>203</v>
      </c>
      <c r="I20" s="39">
        <v>208</v>
      </c>
      <c r="J20" s="39">
        <v>199</v>
      </c>
      <c r="K20" s="39">
        <v>180</v>
      </c>
      <c r="L20" s="39">
        <v>170</v>
      </c>
      <c r="M20" s="39">
        <v>170</v>
      </c>
      <c r="N20" s="39">
        <f t="shared" si="0"/>
        <v>191.41666666666666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4.25">
      <c r="A21" s="33">
        <v>2016</v>
      </c>
      <c r="B21" s="39">
        <v>175</v>
      </c>
      <c r="C21" s="39">
        <v>175</v>
      </c>
      <c r="D21" s="39">
        <v>176</v>
      </c>
      <c r="E21" s="39">
        <v>170</v>
      </c>
      <c r="F21" s="39">
        <v>173</v>
      </c>
      <c r="G21" s="39">
        <v>184</v>
      </c>
      <c r="H21" s="39">
        <v>198</v>
      </c>
      <c r="I21" s="39">
        <v>209</v>
      </c>
      <c r="J21" s="39">
        <v>205</v>
      </c>
      <c r="K21" s="39">
        <v>190</v>
      </c>
      <c r="L21" s="39">
        <v>179</v>
      </c>
      <c r="M21" s="39">
        <v>178</v>
      </c>
      <c r="N21" s="39">
        <f t="shared" si="0"/>
        <v>184.33333333333334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4.25">
      <c r="A22" s="33">
        <v>2017</v>
      </c>
      <c r="B22" s="39">
        <v>175</v>
      </c>
      <c r="C22" s="39">
        <v>171</v>
      </c>
      <c r="D22" s="39">
        <v>170</v>
      </c>
      <c r="E22" s="39">
        <v>174</v>
      </c>
      <c r="F22" s="39">
        <v>177</v>
      </c>
      <c r="G22" s="39">
        <v>185</v>
      </c>
      <c r="H22" s="39">
        <v>202</v>
      </c>
      <c r="I22" s="39">
        <v>199</v>
      </c>
      <c r="J22" s="39">
        <v>185</v>
      </c>
      <c r="K22" s="39">
        <v>182</v>
      </c>
      <c r="L22" s="39">
        <v>170</v>
      </c>
      <c r="M22" s="39">
        <v>164</v>
      </c>
      <c r="N22" s="39">
        <f t="shared" si="0"/>
        <v>179.5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4.25">
      <c r="A23" s="33">
        <v>2018</v>
      </c>
      <c r="B23" s="39">
        <v>176</v>
      </c>
      <c r="C23" s="39">
        <v>173</v>
      </c>
      <c r="D23" s="39">
        <v>170</v>
      </c>
      <c r="E23" s="39">
        <v>166</v>
      </c>
      <c r="F23" s="39">
        <v>174</v>
      </c>
      <c r="G23" s="39">
        <v>190</v>
      </c>
      <c r="H23" s="39">
        <v>203</v>
      </c>
      <c r="I23" s="39">
        <v>202</v>
      </c>
      <c r="J23" s="39">
        <v>201</v>
      </c>
      <c r="K23" s="39">
        <v>182</v>
      </c>
      <c r="L23" s="39">
        <v>169</v>
      </c>
      <c r="M23" s="39">
        <v>170</v>
      </c>
      <c r="N23" s="39">
        <f t="shared" si="0"/>
        <v>181.33333333333334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4.25">
      <c r="A24" s="33">
        <v>2019</v>
      </c>
      <c r="B24" s="39">
        <v>169</v>
      </c>
      <c r="C24" s="39">
        <v>177</v>
      </c>
      <c r="D24" s="39">
        <v>170</v>
      </c>
      <c r="E24" s="39">
        <v>164</v>
      </c>
      <c r="F24" s="39">
        <v>166</v>
      </c>
      <c r="G24" s="39">
        <v>176</v>
      </c>
      <c r="H24" s="39">
        <v>197</v>
      </c>
      <c r="I24" s="39">
        <v>205</v>
      </c>
      <c r="J24" s="39">
        <v>190</v>
      </c>
      <c r="K24" s="39">
        <v>178</v>
      </c>
      <c r="L24" s="39">
        <v>163</v>
      </c>
      <c r="M24" s="39">
        <v>164</v>
      </c>
      <c r="N24" s="39">
        <f t="shared" si="0"/>
        <v>176.58333333333334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4.25">
      <c r="A25" s="33">
        <v>2020</v>
      </c>
      <c r="B25" s="79">
        <v>164</v>
      </c>
      <c r="C25" s="79">
        <v>160</v>
      </c>
      <c r="D25" s="79">
        <v>158</v>
      </c>
      <c r="E25" s="79">
        <v>156</v>
      </c>
      <c r="F25" s="79">
        <v>160</v>
      </c>
      <c r="G25" s="79">
        <v>177</v>
      </c>
      <c r="H25" s="79">
        <v>190</v>
      </c>
      <c r="I25" s="79">
        <v>193</v>
      </c>
      <c r="J25" s="79">
        <v>182</v>
      </c>
      <c r="K25" s="79">
        <v>164</v>
      </c>
      <c r="L25" s="79">
        <v>157</v>
      </c>
      <c r="M25" s="79">
        <v>157</v>
      </c>
      <c r="N25" s="79">
        <f t="shared" si="0"/>
        <v>168.16666666666666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18" ht="14.25">
      <c r="A26" s="34">
        <v>2021</v>
      </c>
      <c r="B26" s="79">
        <v>159</v>
      </c>
      <c r="C26" s="79">
        <v>163</v>
      </c>
      <c r="D26" s="79">
        <v>164</v>
      </c>
      <c r="E26" s="79">
        <v>163</v>
      </c>
      <c r="F26" s="79">
        <v>167</v>
      </c>
      <c r="G26" s="79">
        <v>180</v>
      </c>
      <c r="H26" s="79">
        <v>194</v>
      </c>
      <c r="I26" s="79">
        <v>198</v>
      </c>
      <c r="J26" s="79">
        <v>199</v>
      </c>
      <c r="K26" s="79">
        <v>185</v>
      </c>
      <c r="L26" s="79">
        <v>170</v>
      </c>
      <c r="M26" s="79">
        <v>165</v>
      </c>
      <c r="N26" s="79">
        <f t="shared" si="0"/>
        <v>175.58333333333334</v>
      </c>
      <c r="R26" s="42"/>
    </row>
    <row r="27" spans="1:18" ht="14.25">
      <c r="A27" s="34">
        <v>2022</v>
      </c>
      <c r="B27" s="79">
        <v>167</v>
      </c>
      <c r="C27" s="79">
        <v>169</v>
      </c>
      <c r="D27" s="79">
        <v>168</v>
      </c>
      <c r="E27" s="79">
        <v>168</v>
      </c>
      <c r="F27" s="79">
        <v>179</v>
      </c>
      <c r="G27" s="79">
        <v>192</v>
      </c>
      <c r="H27" s="79">
        <v>204</v>
      </c>
      <c r="I27" s="79">
        <v>207</v>
      </c>
      <c r="J27" s="79">
        <v>195</v>
      </c>
      <c r="K27" s="79">
        <v>174</v>
      </c>
      <c r="L27" s="79">
        <v>164</v>
      </c>
      <c r="M27" s="79">
        <v>161</v>
      </c>
      <c r="N27" s="79">
        <f>AVERAGE(B27:M27)</f>
        <v>179</v>
      </c>
      <c r="R27" s="42"/>
    </row>
    <row r="28" spans="1:14" ht="15" thickBot="1">
      <c r="A28" s="97">
        <v>2023</v>
      </c>
      <c r="B28" s="99">
        <v>172</v>
      </c>
      <c r="C28" s="99">
        <v>167</v>
      </c>
      <c r="D28" s="99">
        <v>167</v>
      </c>
      <c r="E28" s="99">
        <v>169</v>
      </c>
      <c r="F28" s="99">
        <v>172</v>
      </c>
      <c r="G28" s="99">
        <v>178</v>
      </c>
      <c r="H28" s="99">
        <v>193</v>
      </c>
      <c r="I28" s="99">
        <v>199</v>
      </c>
      <c r="J28" s="99">
        <v>189</v>
      </c>
      <c r="K28" s="99">
        <v>175</v>
      </c>
      <c r="L28" s="99">
        <v>165</v>
      </c>
      <c r="M28" s="99">
        <v>160</v>
      </c>
      <c r="N28" s="99">
        <f>AVERAGE(B28:M28)</f>
        <v>175.5</v>
      </c>
    </row>
    <row r="29" spans="2:14" ht="14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4.2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2:14" ht="14.2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</sheetData>
  <sheetProtection/>
  <mergeCells count="1">
    <mergeCell ref="B4:N4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AH30"/>
  <sheetViews>
    <sheetView zoomScale="90" zoomScaleNormal="90" zoomScalePageLayoutView="0" workbookViewId="0" topLeftCell="A1">
      <selection activeCell="N28" sqref="N28"/>
    </sheetView>
  </sheetViews>
  <sheetFormatPr defaultColWidth="9.140625" defaultRowHeight="12.75"/>
  <cols>
    <col min="1" max="1" width="6.7109375" style="28" customWidth="1"/>
    <col min="2" max="16384" width="9.140625" style="28" customWidth="1"/>
  </cols>
  <sheetData>
    <row r="1" ht="15.75">
      <c r="A1" s="36" t="s">
        <v>146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7"/>
      <c r="B4" s="101" t="s">
        <v>22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34" ht="14.25">
      <c r="A5" s="33">
        <v>2000</v>
      </c>
      <c r="B5" s="45">
        <v>0.019999999552965164</v>
      </c>
      <c r="C5" s="45">
        <v>0.019999999552965164</v>
      </c>
      <c r="D5" s="45">
        <v>0.019999999552965164</v>
      </c>
      <c r="E5" s="45">
        <v>0.019999999552965164</v>
      </c>
      <c r="F5" s="45">
        <v>0.019999999552965164</v>
      </c>
      <c r="G5" s="45">
        <v>0.019999999552965164</v>
      </c>
      <c r="H5" s="45">
        <v>0.019999999552965164</v>
      </c>
      <c r="I5" s="45">
        <v>0.019999999552965164</v>
      </c>
      <c r="J5" s="45">
        <v>0.019999999552965164</v>
      </c>
      <c r="K5" s="45">
        <v>0.019999999552965164</v>
      </c>
      <c r="L5" s="45">
        <v>0</v>
      </c>
      <c r="M5" s="45">
        <v>0</v>
      </c>
      <c r="N5" s="45">
        <v>0.016666666294137638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25">
      <c r="A6" s="32">
        <v>2001</v>
      </c>
      <c r="B6" s="45">
        <v>0.019999999552965164</v>
      </c>
      <c r="C6" s="45">
        <v>0.019999999552965164</v>
      </c>
      <c r="D6" s="45">
        <v>0.019999999552965164</v>
      </c>
      <c r="E6" s="45">
        <v>0.019999999552965164</v>
      </c>
      <c r="F6" s="45">
        <v>0.019999999552965164</v>
      </c>
      <c r="G6" s="45">
        <v>0.019999999552965164</v>
      </c>
      <c r="H6" s="45">
        <v>0.019999999552965164</v>
      </c>
      <c r="I6" s="45">
        <v>0.019999999552965164</v>
      </c>
      <c r="J6" s="45">
        <v>0.019999999552965164</v>
      </c>
      <c r="K6" s="45">
        <v>0.019999999552965164</v>
      </c>
      <c r="L6" s="45">
        <v>0.019999999552965164</v>
      </c>
      <c r="M6" s="45">
        <v>0.019999999552965164</v>
      </c>
      <c r="N6" s="45">
        <v>0.019999999552965164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14.25">
      <c r="A7" s="33">
        <v>2002</v>
      </c>
      <c r="B7" s="45">
        <v>0.019999999552965164</v>
      </c>
      <c r="C7" s="45">
        <v>0.019999999552965164</v>
      </c>
      <c r="D7" s="45">
        <v>0.019999999552965164</v>
      </c>
      <c r="E7" s="45">
        <v>0.019999999552965164</v>
      </c>
      <c r="F7" s="45">
        <v>0.019999999552965164</v>
      </c>
      <c r="G7" s="45">
        <v>0.019999999552965164</v>
      </c>
      <c r="H7" s="45">
        <v>0.019999999552965164</v>
      </c>
      <c r="I7" s="45">
        <v>0.019999999552965164</v>
      </c>
      <c r="J7" s="45">
        <v>0.019999999552965164</v>
      </c>
      <c r="K7" s="45">
        <v>0</v>
      </c>
      <c r="L7" s="45">
        <v>0</v>
      </c>
      <c r="M7" s="45">
        <v>0.019999999552965164</v>
      </c>
      <c r="N7" s="45">
        <v>0.016666666294137638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14.25">
      <c r="A8" s="32">
        <v>2003</v>
      </c>
      <c r="B8" s="45">
        <v>0.019999999552965164</v>
      </c>
      <c r="C8" s="45">
        <v>0.019999999552965164</v>
      </c>
      <c r="D8" s="45">
        <v>0.019999999552965164</v>
      </c>
      <c r="E8" s="45">
        <v>0.019999999552965164</v>
      </c>
      <c r="F8" s="45">
        <v>0.019999999552965164</v>
      </c>
      <c r="G8" s="45">
        <v>0.019999999552965164</v>
      </c>
      <c r="H8" s="45">
        <v>0.019999999552965164</v>
      </c>
      <c r="I8" s="45">
        <v>0.019999999552965164</v>
      </c>
      <c r="J8" s="45">
        <v>0.019999999552965164</v>
      </c>
      <c r="K8" s="45">
        <v>0.019999999552965164</v>
      </c>
      <c r="L8" s="45">
        <v>0.019999999552965164</v>
      </c>
      <c r="M8" s="45">
        <v>0.019999999552965164</v>
      </c>
      <c r="N8" s="45">
        <v>0.019999999552965164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14.25">
      <c r="A9" s="33">
        <v>2004</v>
      </c>
      <c r="B9" s="45">
        <v>0.029999999329447746</v>
      </c>
      <c r="C9" s="45">
        <v>0.029999999329447746</v>
      </c>
      <c r="D9" s="45">
        <v>0.029999999329447746</v>
      </c>
      <c r="E9" s="45">
        <v>0.029999999329447746</v>
      </c>
      <c r="F9" s="45">
        <v>0.029999999329447746</v>
      </c>
      <c r="G9" s="45">
        <v>0.029999999329447746</v>
      </c>
      <c r="H9" s="45">
        <v>0.029999999329447746</v>
      </c>
      <c r="I9" s="45">
        <v>0.029999999329447746</v>
      </c>
      <c r="J9" s="45">
        <v>0.029999999329447746</v>
      </c>
      <c r="K9" s="45">
        <v>0.029999999329447746</v>
      </c>
      <c r="L9" s="45">
        <v>0.029999999329447746</v>
      </c>
      <c r="M9" s="45">
        <v>0.029999999329447746</v>
      </c>
      <c r="N9" s="45">
        <v>0.029999999329447746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4.25">
      <c r="A10" s="32">
        <v>2005</v>
      </c>
      <c r="B10" s="45">
        <v>0.029999999329447746</v>
      </c>
      <c r="C10" s="45">
        <v>0.029999999329447746</v>
      </c>
      <c r="D10" s="45">
        <v>0.029999999329447746</v>
      </c>
      <c r="E10" s="45">
        <v>0.029999999329447746</v>
      </c>
      <c r="F10" s="45">
        <v>0.029999999329447746</v>
      </c>
      <c r="G10" s="45">
        <v>0.029999999329447746</v>
      </c>
      <c r="H10" s="45">
        <v>0.029999999329447746</v>
      </c>
      <c r="I10" s="45">
        <v>0.029999999329447746</v>
      </c>
      <c r="J10" s="45">
        <v>0.029999999329447746</v>
      </c>
      <c r="K10" s="45">
        <v>0.029999999329447746</v>
      </c>
      <c r="L10" s="45">
        <v>0</v>
      </c>
      <c r="M10" s="45">
        <v>0.029999999329447746</v>
      </c>
      <c r="N10" s="45">
        <v>0.0274999993853271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14.25">
      <c r="A11" s="32">
        <v>2006</v>
      </c>
      <c r="B11" s="45">
        <v>0.029999999329447746</v>
      </c>
      <c r="C11" s="45">
        <v>0.029999999329447746</v>
      </c>
      <c r="D11" s="45">
        <v>0.029999999329447746</v>
      </c>
      <c r="E11" s="45">
        <v>0.029999999329447746</v>
      </c>
      <c r="F11" s="45">
        <v>0.029999999329447746</v>
      </c>
      <c r="G11" s="45">
        <v>0.029999999329447746</v>
      </c>
      <c r="H11" s="45">
        <v>0.029999999329447746</v>
      </c>
      <c r="I11" s="45">
        <v>0.029999999329447746</v>
      </c>
      <c r="J11" s="45">
        <v>0</v>
      </c>
      <c r="K11" s="45">
        <v>0</v>
      </c>
      <c r="L11" s="45">
        <v>0.029999999329447746</v>
      </c>
      <c r="M11" s="45">
        <v>0.029999999329447746</v>
      </c>
      <c r="N11" s="45">
        <v>0.024999999441206455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1:34" ht="14.25">
      <c r="A12" s="32">
        <v>2007</v>
      </c>
      <c r="B12" s="45">
        <v>0.029999999329447746</v>
      </c>
      <c r="C12" s="45">
        <v>0.029999999329447746</v>
      </c>
      <c r="D12" s="45">
        <v>0.029999999329447746</v>
      </c>
      <c r="E12" s="45">
        <v>0.029999999329447746</v>
      </c>
      <c r="F12" s="45">
        <v>0.029999999329447746</v>
      </c>
      <c r="G12" s="45">
        <v>0.029999999329447746</v>
      </c>
      <c r="H12" s="45">
        <v>0.029999999329447746</v>
      </c>
      <c r="I12" s="45">
        <v>0.029999999329447746</v>
      </c>
      <c r="J12" s="45">
        <v>0.029999999329447746</v>
      </c>
      <c r="K12" s="45">
        <v>0</v>
      </c>
      <c r="L12" s="45">
        <v>0</v>
      </c>
      <c r="M12" s="45">
        <v>0.029999999329447746</v>
      </c>
      <c r="N12" s="45">
        <v>0.024999999441206455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ht="14.25">
      <c r="A13" s="33">
        <v>2008</v>
      </c>
      <c r="B13" s="45">
        <v>0.029999999329447746</v>
      </c>
      <c r="C13" s="45">
        <v>0.029999999329447746</v>
      </c>
      <c r="D13" s="45">
        <v>0.029999999329447746</v>
      </c>
      <c r="E13" s="45">
        <v>0.029999999329447746</v>
      </c>
      <c r="F13" s="45">
        <v>0.029999999329447746</v>
      </c>
      <c r="G13" s="45">
        <v>0.029999999329447746</v>
      </c>
      <c r="H13" s="45">
        <v>0.029999999329447746</v>
      </c>
      <c r="I13" s="45">
        <v>0.029999999329447746</v>
      </c>
      <c r="J13" s="45">
        <v>0.029999999329447746</v>
      </c>
      <c r="K13" s="45">
        <v>0.029999999329447746</v>
      </c>
      <c r="L13" s="45">
        <v>0</v>
      </c>
      <c r="M13" s="45">
        <v>0.029999999329447746</v>
      </c>
      <c r="N13" s="45">
        <v>0.0274999993853271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ht="14.25">
      <c r="A14" s="32">
        <v>2009</v>
      </c>
      <c r="B14" s="45">
        <v>0.029999999329447746</v>
      </c>
      <c r="C14" s="45">
        <v>0.029999999329447746</v>
      </c>
      <c r="D14" s="45">
        <v>0.029999999329447746</v>
      </c>
      <c r="E14" s="45">
        <v>0.029999999329447746</v>
      </c>
      <c r="F14" s="45">
        <v>0.029999999329447746</v>
      </c>
      <c r="G14" s="45">
        <v>0.029999999329447746</v>
      </c>
      <c r="H14" s="45">
        <v>0.029999999329447746</v>
      </c>
      <c r="I14" s="45">
        <v>0.029999999329447746</v>
      </c>
      <c r="J14" s="45">
        <v>0.029999999329447746</v>
      </c>
      <c r="K14" s="45">
        <v>0.029999999329447746</v>
      </c>
      <c r="L14" s="45">
        <v>0</v>
      </c>
      <c r="M14" s="45">
        <v>0.029999999329447746</v>
      </c>
      <c r="N14" s="45">
        <v>0.0274999993853271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ht="14.25">
      <c r="A15" s="33">
        <v>2010</v>
      </c>
      <c r="B15" s="45">
        <v>0.029999999329447746</v>
      </c>
      <c r="C15" s="45">
        <v>0.029999999329447746</v>
      </c>
      <c r="D15" s="45">
        <v>0.029999999329447746</v>
      </c>
      <c r="E15" s="45">
        <v>0.029999999329447746</v>
      </c>
      <c r="F15" s="45">
        <v>0.029999999329447746</v>
      </c>
      <c r="G15" s="45">
        <v>0.029999999329447746</v>
      </c>
      <c r="H15" s="45">
        <v>0.029999999329447746</v>
      </c>
      <c r="I15" s="45">
        <v>0.029999999329447746</v>
      </c>
      <c r="J15" s="45">
        <v>0.029999999329447746</v>
      </c>
      <c r="K15" s="45">
        <v>0.029999999329447746</v>
      </c>
      <c r="L15" s="45">
        <v>0</v>
      </c>
      <c r="M15" s="45">
        <v>0.029999999329447746</v>
      </c>
      <c r="N15" s="45">
        <v>0.0274999993853271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14.25">
      <c r="A16" s="32">
        <v>2011</v>
      </c>
      <c r="B16" s="45">
        <v>0.029999999329447746</v>
      </c>
      <c r="C16" s="45">
        <v>0.029999999329447746</v>
      </c>
      <c r="D16" s="45">
        <v>0.029999999329447746</v>
      </c>
      <c r="E16" s="45">
        <v>0.029999999329447746</v>
      </c>
      <c r="F16" s="45">
        <v>0.029999999329447746</v>
      </c>
      <c r="G16" s="45">
        <v>0.029999999329447746</v>
      </c>
      <c r="H16" s="45">
        <v>0.029999999329447746</v>
      </c>
      <c r="I16" s="45">
        <v>0.029999999329447746</v>
      </c>
      <c r="J16" s="45">
        <v>0.029999999329447746</v>
      </c>
      <c r="K16" s="45">
        <v>0.029999999329447746</v>
      </c>
      <c r="L16" s="45">
        <v>0.029999999329447746</v>
      </c>
      <c r="M16" s="45">
        <v>0.029999999329447746</v>
      </c>
      <c r="N16" s="45">
        <v>0.029999999329447746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ht="14.25">
      <c r="A17" s="33">
        <v>2012</v>
      </c>
      <c r="B17" s="45">
        <v>0.029999999329447746</v>
      </c>
      <c r="C17" s="45">
        <v>0.029999999329447746</v>
      </c>
      <c r="D17" s="45">
        <v>0.029999999329447746</v>
      </c>
      <c r="E17" s="45">
        <v>0.029999999329447746</v>
      </c>
      <c r="F17" s="45">
        <v>0.029999999329447746</v>
      </c>
      <c r="G17" s="45">
        <v>0.029999999329447746</v>
      </c>
      <c r="H17" s="45">
        <v>0.029999999329447746</v>
      </c>
      <c r="I17" s="45">
        <v>0.029999999329447746</v>
      </c>
      <c r="J17" s="45">
        <v>0.029999999329447746</v>
      </c>
      <c r="K17" s="45">
        <v>0.029999999329447746</v>
      </c>
      <c r="L17" s="45">
        <v>0</v>
      </c>
      <c r="M17" s="45">
        <v>0.029999999329447746</v>
      </c>
      <c r="N17" s="45">
        <v>0.0274999993853271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4.25">
      <c r="A18" s="32">
        <v>2013</v>
      </c>
      <c r="B18" s="45">
        <v>0.029999999329447746</v>
      </c>
      <c r="C18" s="45">
        <v>0.029999999329447746</v>
      </c>
      <c r="D18" s="45">
        <v>0.029999999329447746</v>
      </c>
      <c r="E18" s="45">
        <v>0.029999999329447746</v>
      </c>
      <c r="F18" s="45">
        <v>0.029999999329447746</v>
      </c>
      <c r="G18" s="45">
        <v>0.029999999329447746</v>
      </c>
      <c r="H18" s="45">
        <v>0.029999999329447746</v>
      </c>
      <c r="I18" s="45">
        <v>0.029999999329447746</v>
      </c>
      <c r="J18" s="45">
        <v>0.029999999329447746</v>
      </c>
      <c r="K18" s="45">
        <v>0.029999999329447746</v>
      </c>
      <c r="L18" s="45">
        <v>0</v>
      </c>
      <c r="M18" s="45">
        <v>0.029999999329447746</v>
      </c>
      <c r="N18" s="45">
        <v>0.0274999993853271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14.25">
      <c r="A19" s="33">
        <v>2014</v>
      </c>
      <c r="B19" s="45">
        <v>0.029999999329447746</v>
      </c>
      <c r="C19" s="45">
        <v>0.029999999329447746</v>
      </c>
      <c r="D19" s="45">
        <v>0.029999999329447746</v>
      </c>
      <c r="E19" s="45">
        <v>0.029999999329447746</v>
      </c>
      <c r="F19" s="45">
        <v>0.029999999329447746</v>
      </c>
      <c r="G19" s="45">
        <v>0.029999999329447746</v>
      </c>
      <c r="H19" s="45">
        <v>0.029999999329447746</v>
      </c>
      <c r="I19" s="45">
        <v>0.029999999329447746</v>
      </c>
      <c r="J19" s="45">
        <v>0.029999999329447746</v>
      </c>
      <c r="K19" s="45">
        <v>0.029999999329447746</v>
      </c>
      <c r="L19" s="45">
        <v>0.029999999329447746</v>
      </c>
      <c r="M19" s="45">
        <v>0</v>
      </c>
      <c r="N19" s="45">
        <v>0.0274999993853271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4.25">
      <c r="A20" s="32">
        <v>2015</v>
      </c>
      <c r="B20" s="45">
        <v>0.029999999329447746</v>
      </c>
      <c r="C20" s="45">
        <v>0.029999999329447746</v>
      </c>
      <c r="D20" s="45">
        <v>0.029999999329447746</v>
      </c>
      <c r="E20" s="45">
        <v>0.029999999329447746</v>
      </c>
      <c r="F20" s="45">
        <v>0.029999999329447746</v>
      </c>
      <c r="G20" s="45">
        <v>0.029999999329447746</v>
      </c>
      <c r="H20" s="45">
        <v>0.029999999329447746</v>
      </c>
      <c r="I20" s="45">
        <v>0.029999999329447746</v>
      </c>
      <c r="J20" s="45">
        <v>0.029999999329447746</v>
      </c>
      <c r="K20" s="45">
        <v>0.029999999329447746</v>
      </c>
      <c r="L20" s="45">
        <v>0.029999999329447746</v>
      </c>
      <c r="M20" s="45">
        <v>0</v>
      </c>
      <c r="N20" s="45">
        <v>0.0274999993853271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4.25">
      <c r="A21" s="33">
        <v>2016</v>
      </c>
      <c r="B21" s="45">
        <v>0.029999999329447746</v>
      </c>
      <c r="C21" s="45">
        <v>0.029999999329447746</v>
      </c>
      <c r="D21" s="45">
        <v>0.029999999329447746</v>
      </c>
      <c r="E21" s="45">
        <v>0.029999999329447746</v>
      </c>
      <c r="F21" s="45">
        <v>0.029999999329447746</v>
      </c>
      <c r="G21" s="45">
        <v>0.029999999329447746</v>
      </c>
      <c r="H21" s="45">
        <v>0.029999999329447746</v>
      </c>
      <c r="I21" s="45">
        <v>0.029999999329447746</v>
      </c>
      <c r="J21" s="45">
        <v>0.029999999329447746</v>
      </c>
      <c r="K21" s="45">
        <v>0.029999999329447746</v>
      </c>
      <c r="L21" s="45">
        <v>0.029999999329447746</v>
      </c>
      <c r="M21" s="45">
        <v>0</v>
      </c>
      <c r="N21" s="45">
        <v>0.0274999993853271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4.25">
      <c r="A22" s="32">
        <v>2017</v>
      </c>
      <c r="B22" s="45">
        <v>0.029999999329447746</v>
      </c>
      <c r="C22" s="45">
        <v>0.029999999329447746</v>
      </c>
      <c r="D22" s="45">
        <v>0.029999999329447746</v>
      </c>
      <c r="E22" s="45">
        <v>0.029999999329447746</v>
      </c>
      <c r="F22" s="45">
        <v>0.029999999329447746</v>
      </c>
      <c r="G22" s="45">
        <v>0.029999999329447746</v>
      </c>
      <c r="H22" s="45">
        <v>0.029999999329447746</v>
      </c>
      <c r="I22" s="45">
        <v>0.029999999329447746</v>
      </c>
      <c r="J22" s="45">
        <v>0.029999999329447746</v>
      </c>
      <c r="K22" s="45">
        <v>0.029999999329447746</v>
      </c>
      <c r="L22" s="45">
        <v>0.029999999329447746</v>
      </c>
      <c r="M22" s="45">
        <v>0.029999999329447746</v>
      </c>
      <c r="N22" s="45">
        <v>0.029999999329447746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4.25">
      <c r="A23" s="32">
        <v>2018</v>
      </c>
      <c r="B23" s="45">
        <v>0.029999999329447746</v>
      </c>
      <c r="C23" s="45">
        <v>0.029999999329447746</v>
      </c>
      <c r="D23" s="45">
        <v>0.029999999329447746</v>
      </c>
      <c r="E23" s="45">
        <v>0.029999999329447746</v>
      </c>
      <c r="F23" s="45">
        <v>0.029999999329447746</v>
      </c>
      <c r="G23" s="45">
        <v>0.029999999329447746</v>
      </c>
      <c r="H23" s="45">
        <v>0.029999999329447746</v>
      </c>
      <c r="I23" s="45">
        <v>0.029999999329447746</v>
      </c>
      <c r="J23" s="45">
        <v>0.029999999329447746</v>
      </c>
      <c r="K23" s="45">
        <v>0.029999999329447746</v>
      </c>
      <c r="L23" s="45">
        <v>0.0299999993294477</v>
      </c>
      <c r="M23" s="45">
        <v>0.029999999329447746</v>
      </c>
      <c r="N23" s="45">
        <v>0.029999999329447746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4.25">
      <c r="A24" s="32">
        <v>2019</v>
      </c>
      <c r="B24" s="45">
        <v>0.029999999329447746</v>
      </c>
      <c r="C24" s="45">
        <v>0.029999999329447746</v>
      </c>
      <c r="D24" s="45">
        <v>0.029999999329447746</v>
      </c>
      <c r="E24" s="45">
        <v>0.029999999329447746</v>
      </c>
      <c r="F24" s="45">
        <v>0.029999999329447746</v>
      </c>
      <c r="G24" s="45">
        <v>0.029999999329447746</v>
      </c>
      <c r="H24" s="45">
        <v>0.03</v>
      </c>
      <c r="I24" s="45">
        <v>0.03</v>
      </c>
      <c r="J24" s="45">
        <v>0.03</v>
      </c>
      <c r="K24" s="45">
        <v>0.03</v>
      </c>
      <c r="L24" s="45">
        <v>0</v>
      </c>
      <c r="M24" s="45">
        <v>0</v>
      </c>
      <c r="N24" s="45">
        <f>AVERAGE(B24:M24)</f>
        <v>0.02499999966472387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4.25">
      <c r="A25" s="34">
        <v>2020</v>
      </c>
      <c r="B25" s="90">
        <v>0.029999999329447746</v>
      </c>
      <c r="C25" s="90">
        <v>0.029999999329447746</v>
      </c>
      <c r="D25" s="90">
        <v>0.0299999993294477</v>
      </c>
      <c r="E25" s="90">
        <v>0.03</v>
      </c>
      <c r="F25" s="90">
        <v>0.03</v>
      </c>
      <c r="G25" s="90">
        <v>0.03</v>
      </c>
      <c r="H25" s="90">
        <v>0.03</v>
      </c>
      <c r="I25" s="90">
        <v>0.03</v>
      </c>
      <c r="J25" s="90">
        <v>0.03</v>
      </c>
      <c r="K25" s="90">
        <v>0.03</v>
      </c>
      <c r="L25" s="90">
        <v>0.03</v>
      </c>
      <c r="M25" s="90">
        <v>0.03</v>
      </c>
      <c r="N25" s="90">
        <v>0.03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14" ht="14.25">
      <c r="A26" s="34">
        <v>2021</v>
      </c>
      <c r="B26" s="90">
        <v>0.029999999329447746</v>
      </c>
      <c r="C26" s="90">
        <v>0.029999999329447746</v>
      </c>
      <c r="D26" s="90">
        <v>0.0299999993294477</v>
      </c>
      <c r="E26" s="90">
        <v>0.03</v>
      </c>
      <c r="F26" s="90">
        <v>0.03</v>
      </c>
      <c r="G26" s="90">
        <v>0.03</v>
      </c>
      <c r="H26" s="90">
        <v>0.03</v>
      </c>
      <c r="I26" s="90">
        <v>0.03</v>
      </c>
      <c r="J26" s="90">
        <v>0.03</v>
      </c>
      <c r="K26" s="90">
        <v>0.03</v>
      </c>
      <c r="L26" s="90">
        <v>0.03</v>
      </c>
      <c r="M26" s="90">
        <v>0.03</v>
      </c>
      <c r="N26" s="90">
        <v>0.03</v>
      </c>
    </row>
    <row r="27" spans="1:14" ht="14.25">
      <c r="A27" s="34">
        <v>2022</v>
      </c>
      <c r="B27" s="90">
        <v>0.029999999329447746</v>
      </c>
      <c r="C27" s="90">
        <v>0.029999999329447746</v>
      </c>
      <c r="D27" s="90">
        <v>0.0299999993294477</v>
      </c>
      <c r="E27" s="90">
        <v>0.03</v>
      </c>
      <c r="F27" s="90">
        <v>0.03</v>
      </c>
      <c r="G27" s="90">
        <v>0.03</v>
      </c>
      <c r="H27" s="90">
        <v>0.03</v>
      </c>
      <c r="I27" s="90">
        <v>0.03</v>
      </c>
      <c r="J27" s="90">
        <v>0.03</v>
      </c>
      <c r="K27" s="90">
        <v>0.03</v>
      </c>
      <c r="L27" s="90">
        <v>0.03</v>
      </c>
      <c r="M27" s="90">
        <v>0.03</v>
      </c>
      <c r="N27" s="90">
        <v>0.03</v>
      </c>
    </row>
    <row r="28" spans="1:14" ht="14.25">
      <c r="A28" s="38">
        <v>2023</v>
      </c>
      <c r="B28" s="78">
        <v>0.029999999329447746</v>
      </c>
      <c r="C28" s="78">
        <v>0.029999999329447746</v>
      </c>
      <c r="D28" s="78">
        <v>0.0299999993294477</v>
      </c>
      <c r="E28" s="78">
        <v>0.03</v>
      </c>
      <c r="F28" s="78">
        <v>0.03</v>
      </c>
      <c r="G28" s="78">
        <v>0.03</v>
      </c>
      <c r="H28" s="78">
        <v>0.03</v>
      </c>
      <c r="I28" s="78">
        <v>0.03</v>
      </c>
      <c r="J28" s="78">
        <v>0.03</v>
      </c>
      <c r="K28" s="78">
        <v>0.03</v>
      </c>
      <c r="L28" s="78">
        <v>0.03</v>
      </c>
      <c r="M28" s="78">
        <v>0.03</v>
      </c>
      <c r="N28" s="78">
        <v>0.03</v>
      </c>
    </row>
    <row r="29" spans="2:14" ht="14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4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AH30"/>
  <sheetViews>
    <sheetView zoomScale="90" zoomScaleNormal="90" zoomScalePageLayoutView="0" workbookViewId="0" topLeftCell="A1">
      <selection activeCell="N28" sqref="N28"/>
    </sheetView>
  </sheetViews>
  <sheetFormatPr defaultColWidth="9.140625" defaultRowHeight="12.75"/>
  <cols>
    <col min="1" max="1" width="6.7109375" style="28" customWidth="1"/>
    <col min="2" max="16384" width="9.140625" style="28" customWidth="1"/>
  </cols>
  <sheetData>
    <row r="1" ht="15.75">
      <c r="A1" s="36" t="s">
        <v>147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7"/>
      <c r="B4" s="101" t="s">
        <v>22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34" ht="14.25">
      <c r="A5" s="33">
        <v>2000</v>
      </c>
      <c r="B5" s="45">
        <v>0.05000000074505806</v>
      </c>
      <c r="C5" s="45">
        <v>0.05000000074505806</v>
      </c>
      <c r="D5" s="45">
        <v>0.05000000074505806</v>
      </c>
      <c r="E5" s="45">
        <v>0.05000000074505806</v>
      </c>
      <c r="F5" s="45">
        <v>0.05000000074505806</v>
      </c>
      <c r="G5" s="45">
        <v>0.05000000074505806</v>
      </c>
      <c r="H5" s="45">
        <v>0.05000000074505806</v>
      </c>
      <c r="I5" s="45">
        <v>0.05000000074505806</v>
      </c>
      <c r="J5" s="45">
        <v>0.05000000074505806</v>
      </c>
      <c r="K5" s="45">
        <v>0.05000000074505806</v>
      </c>
      <c r="L5" s="45">
        <v>0.05000000074505806</v>
      </c>
      <c r="M5" s="45">
        <v>0.05000000074505806</v>
      </c>
      <c r="N5" s="45">
        <v>0.05000000074505806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25">
      <c r="A6" s="32">
        <v>2001</v>
      </c>
      <c r="B6" s="45">
        <v>0.05000000074505806</v>
      </c>
      <c r="C6" s="45">
        <v>0.05000000074505806</v>
      </c>
      <c r="D6" s="45">
        <v>0.05000000074505806</v>
      </c>
      <c r="E6" s="45">
        <v>0.05000000074505806</v>
      </c>
      <c r="F6" s="45">
        <v>0.05000000074505806</v>
      </c>
      <c r="G6" s="45">
        <v>0.05000000074505806</v>
      </c>
      <c r="H6" s="45">
        <v>0.05000000074505806</v>
      </c>
      <c r="I6" s="45">
        <v>0.05000000074505806</v>
      </c>
      <c r="J6" s="45">
        <v>0.05000000074505806</v>
      </c>
      <c r="K6" s="45">
        <v>0.05000000074505806</v>
      </c>
      <c r="L6" s="45">
        <v>0.05000000074505806</v>
      </c>
      <c r="M6" s="45">
        <v>0.05000000074505806</v>
      </c>
      <c r="N6" s="45">
        <v>0.05000000074505806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14.25">
      <c r="A7" s="33">
        <v>2002</v>
      </c>
      <c r="B7" s="45">
        <v>0.05000000074505806</v>
      </c>
      <c r="C7" s="45">
        <v>0.05000000074505806</v>
      </c>
      <c r="D7" s="45">
        <v>0.05000000074505806</v>
      </c>
      <c r="E7" s="45">
        <v>0.05000000074505806</v>
      </c>
      <c r="F7" s="45">
        <v>0.05000000074505806</v>
      </c>
      <c r="G7" s="45">
        <v>0.05000000074505806</v>
      </c>
      <c r="H7" s="45">
        <v>0.05000000074505806</v>
      </c>
      <c r="I7" s="45">
        <v>0.05000000074505806</v>
      </c>
      <c r="J7" s="45">
        <v>0.05000000074505806</v>
      </c>
      <c r="K7" s="45">
        <v>0.05000000074505806</v>
      </c>
      <c r="L7" s="45">
        <v>0.05000000074505806</v>
      </c>
      <c r="M7" s="45">
        <v>0.05000000074505806</v>
      </c>
      <c r="N7" s="45">
        <v>0.05000000074505806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14.25">
      <c r="A8" s="32">
        <v>2003</v>
      </c>
      <c r="B8" s="45">
        <v>0.05000000074505806</v>
      </c>
      <c r="C8" s="45">
        <v>0.05000000074505806</v>
      </c>
      <c r="D8" s="45">
        <v>0.05000000074505806</v>
      </c>
      <c r="E8" s="45">
        <v>0.05000000074505806</v>
      </c>
      <c r="F8" s="45">
        <v>0.05000000074505806</v>
      </c>
      <c r="G8" s="45">
        <v>0.05000000074505806</v>
      </c>
      <c r="H8" s="45">
        <v>0.05000000074505806</v>
      </c>
      <c r="I8" s="45">
        <v>0.05000000074505806</v>
      </c>
      <c r="J8" s="45">
        <v>0.05000000074505806</v>
      </c>
      <c r="K8" s="45">
        <v>0.05000000074505806</v>
      </c>
      <c r="L8" s="45">
        <v>0.05000000074505806</v>
      </c>
      <c r="M8" s="45">
        <v>0.05000000074505806</v>
      </c>
      <c r="N8" s="45">
        <v>0.05000000074505806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14.25">
      <c r="A9" s="33">
        <v>2004</v>
      </c>
      <c r="B9" s="45">
        <v>0.05000000074505806</v>
      </c>
      <c r="C9" s="45">
        <v>0.05000000074505806</v>
      </c>
      <c r="D9" s="45">
        <v>0.05000000074505806</v>
      </c>
      <c r="E9" s="45">
        <v>0.05000000074505806</v>
      </c>
      <c r="F9" s="45">
        <v>0.05000000074505806</v>
      </c>
      <c r="G9" s="45">
        <v>0.05000000074505806</v>
      </c>
      <c r="H9" s="45">
        <v>0.05000000074505806</v>
      </c>
      <c r="I9" s="45">
        <v>0.05000000074505806</v>
      </c>
      <c r="J9" s="45">
        <v>0.05000000074505806</v>
      </c>
      <c r="K9" s="45">
        <v>0.05000000074505806</v>
      </c>
      <c r="L9" s="45">
        <v>0.05000000074505806</v>
      </c>
      <c r="M9" s="45">
        <v>0.05000000074505806</v>
      </c>
      <c r="N9" s="45">
        <v>0.05000000074505806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4.25">
      <c r="A10" s="32">
        <v>2005</v>
      </c>
      <c r="B10" s="45">
        <v>0.05000000074505806</v>
      </c>
      <c r="C10" s="45">
        <v>0.05000000074505806</v>
      </c>
      <c r="D10" s="45">
        <v>0.05000000074505806</v>
      </c>
      <c r="E10" s="45">
        <v>0.05000000074505806</v>
      </c>
      <c r="F10" s="45">
        <v>0.05000000074505806</v>
      </c>
      <c r="G10" s="45">
        <v>0.05000000074505806</v>
      </c>
      <c r="H10" s="45">
        <v>0.05000000074505806</v>
      </c>
      <c r="I10" s="45">
        <v>0.05000000074505806</v>
      </c>
      <c r="J10" s="45">
        <v>0.05000000074505806</v>
      </c>
      <c r="K10" s="45">
        <v>0.05000000074505806</v>
      </c>
      <c r="L10" s="45">
        <v>0.05000000074505806</v>
      </c>
      <c r="M10" s="45">
        <v>0.05000000074505806</v>
      </c>
      <c r="N10" s="45">
        <v>0.05000000074505806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14.25">
      <c r="A11" s="32">
        <v>2006</v>
      </c>
      <c r="B11" s="45">
        <v>0.05000000074505806</v>
      </c>
      <c r="C11" s="45">
        <v>0.05000000074505806</v>
      </c>
      <c r="D11" s="45">
        <v>0.05000000074505806</v>
      </c>
      <c r="E11" s="45">
        <v>0.05000000074505806</v>
      </c>
      <c r="F11" s="45">
        <v>0.05000000074505806</v>
      </c>
      <c r="G11" s="45">
        <v>0.05000000074505806</v>
      </c>
      <c r="H11" s="45">
        <v>0.05000000074505806</v>
      </c>
      <c r="I11" s="45">
        <v>0.05000000074505806</v>
      </c>
      <c r="J11" s="45">
        <v>0.05000000074505806</v>
      </c>
      <c r="K11" s="45">
        <v>0.05000000074505806</v>
      </c>
      <c r="L11" s="45">
        <v>0.05000000074505806</v>
      </c>
      <c r="M11" s="45">
        <v>0.05000000074505806</v>
      </c>
      <c r="N11" s="45">
        <v>0.05000000074505806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1:34" ht="14.25">
      <c r="A12" s="32">
        <v>2007</v>
      </c>
      <c r="B12" s="45">
        <v>0.05000000074505806</v>
      </c>
      <c r="C12" s="45">
        <v>0.05000000074505806</v>
      </c>
      <c r="D12" s="45">
        <v>0.05000000074505806</v>
      </c>
      <c r="E12" s="45">
        <v>0.05000000074505806</v>
      </c>
      <c r="F12" s="45">
        <v>0.05000000074505806</v>
      </c>
      <c r="G12" s="45">
        <v>0.05000000074505806</v>
      </c>
      <c r="H12" s="45">
        <v>0.05000000074505806</v>
      </c>
      <c r="I12" s="45">
        <v>0.05000000074505806</v>
      </c>
      <c r="J12" s="45">
        <v>0.05000000074505806</v>
      </c>
      <c r="K12" s="45">
        <v>0.05000000074505806</v>
      </c>
      <c r="L12" s="45">
        <v>0.05000000074505806</v>
      </c>
      <c r="M12" s="45">
        <v>0.05000000074505806</v>
      </c>
      <c r="N12" s="45">
        <v>0.05000000074505806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ht="14.25">
      <c r="A13" s="33">
        <v>2008</v>
      </c>
      <c r="B13" s="45">
        <v>0.05000000074505806</v>
      </c>
      <c r="C13" s="45">
        <v>0.05000000074505806</v>
      </c>
      <c r="D13" s="45">
        <v>0.05000000074505806</v>
      </c>
      <c r="E13" s="45">
        <v>0.05000000074505806</v>
      </c>
      <c r="F13" s="45">
        <v>0.05000000074505806</v>
      </c>
      <c r="G13" s="45">
        <v>0.05000000074505806</v>
      </c>
      <c r="H13" s="45">
        <v>0.05000000074505806</v>
      </c>
      <c r="I13" s="45">
        <v>0.05000000074505806</v>
      </c>
      <c r="J13" s="45">
        <v>0.05000000074505806</v>
      </c>
      <c r="K13" s="45">
        <v>0.05000000074505806</v>
      </c>
      <c r="L13" s="45">
        <v>0.05000000074505806</v>
      </c>
      <c r="M13" s="45">
        <v>0.05000000074505806</v>
      </c>
      <c r="N13" s="45">
        <v>0.05000000074505806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ht="14.25">
      <c r="A14" s="32">
        <v>2009</v>
      </c>
      <c r="B14" s="45">
        <v>0.05000000074505806</v>
      </c>
      <c r="C14" s="45">
        <v>0.05000000074505806</v>
      </c>
      <c r="D14" s="45">
        <v>0.05000000074505806</v>
      </c>
      <c r="E14" s="45">
        <v>0.05000000074505806</v>
      </c>
      <c r="F14" s="45">
        <v>0.05000000074505806</v>
      </c>
      <c r="G14" s="45">
        <v>0.05000000074505806</v>
      </c>
      <c r="H14" s="45">
        <v>0.05000000074505806</v>
      </c>
      <c r="I14" s="45">
        <v>0.05000000074505806</v>
      </c>
      <c r="J14" s="45">
        <v>0.05000000074505806</v>
      </c>
      <c r="K14" s="45">
        <v>0.05000000074505806</v>
      </c>
      <c r="L14" s="45">
        <v>0.05000000074505806</v>
      </c>
      <c r="M14" s="45">
        <v>0.05000000074505806</v>
      </c>
      <c r="N14" s="45">
        <v>0.05000000074505806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ht="14.25">
      <c r="A15" s="33">
        <v>2010</v>
      </c>
      <c r="B15" s="45">
        <v>0.05000000074505806</v>
      </c>
      <c r="C15" s="45">
        <v>0.05000000074505806</v>
      </c>
      <c r="D15" s="45">
        <v>0.05000000074505806</v>
      </c>
      <c r="E15" s="45">
        <v>0.05000000074505806</v>
      </c>
      <c r="F15" s="45">
        <v>0.05000000074505806</v>
      </c>
      <c r="G15" s="45">
        <v>0.05000000074505806</v>
      </c>
      <c r="H15" s="45">
        <v>0.05000000074505806</v>
      </c>
      <c r="I15" s="45">
        <v>0.05000000074505806</v>
      </c>
      <c r="J15" s="45">
        <v>0.05000000074505806</v>
      </c>
      <c r="K15" s="45">
        <v>0.05000000074505806</v>
      </c>
      <c r="L15" s="45">
        <v>0.05000000074505806</v>
      </c>
      <c r="M15" s="45">
        <v>0.05000000074505806</v>
      </c>
      <c r="N15" s="45">
        <v>0.05000000074505806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14.25">
      <c r="A16" s="32">
        <v>2011</v>
      </c>
      <c r="B16" s="45">
        <v>0.05000000074505806</v>
      </c>
      <c r="C16" s="45">
        <v>0.05000000074505806</v>
      </c>
      <c r="D16" s="45">
        <v>0.05000000074505806</v>
      </c>
      <c r="E16" s="45">
        <v>0.05000000074505806</v>
      </c>
      <c r="F16" s="45">
        <v>0.05000000074505806</v>
      </c>
      <c r="G16" s="45">
        <v>0.05000000074505806</v>
      </c>
      <c r="H16" s="45">
        <v>0.05000000074505806</v>
      </c>
      <c r="I16" s="45">
        <v>0.05000000074505806</v>
      </c>
      <c r="J16" s="45">
        <v>0.05000000074505806</v>
      </c>
      <c r="K16" s="45">
        <v>0.05000000074505806</v>
      </c>
      <c r="L16" s="45">
        <v>0.05000000074505806</v>
      </c>
      <c r="M16" s="45">
        <v>0.05000000074505806</v>
      </c>
      <c r="N16" s="45">
        <v>0.05000000074505806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ht="14.25">
      <c r="A17" s="33">
        <v>2012</v>
      </c>
      <c r="B17" s="45">
        <v>0.05000000074505806</v>
      </c>
      <c r="C17" s="45">
        <v>0.05000000074505806</v>
      </c>
      <c r="D17" s="45">
        <v>0.05000000074505806</v>
      </c>
      <c r="E17" s="45">
        <v>0.05000000074505806</v>
      </c>
      <c r="F17" s="45">
        <v>0.05000000074505806</v>
      </c>
      <c r="G17" s="45">
        <v>0.05000000074505806</v>
      </c>
      <c r="H17" s="45">
        <v>0.05000000074505806</v>
      </c>
      <c r="I17" s="45">
        <v>0.05000000074505806</v>
      </c>
      <c r="J17" s="45">
        <v>0.05000000074505806</v>
      </c>
      <c r="K17" s="45">
        <v>0.05000000074505806</v>
      </c>
      <c r="L17" s="45">
        <v>0.05000000074505806</v>
      </c>
      <c r="M17" s="45">
        <v>0.05000000074505806</v>
      </c>
      <c r="N17" s="45">
        <v>0.05000000074505806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4.25">
      <c r="A18" s="32">
        <v>2013</v>
      </c>
      <c r="B18" s="45">
        <v>0.05000000074505806</v>
      </c>
      <c r="C18" s="45">
        <v>0.05000000074505806</v>
      </c>
      <c r="D18" s="45">
        <v>0.05000000074505806</v>
      </c>
      <c r="E18" s="45">
        <v>0.05000000074505806</v>
      </c>
      <c r="F18" s="45">
        <v>0.05000000074505806</v>
      </c>
      <c r="G18" s="45">
        <v>0.05000000074505806</v>
      </c>
      <c r="H18" s="45">
        <v>0.05000000074505806</v>
      </c>
      <c r="I18" s="45">
        <v>0.05000000074505806</v>
      </c>
      <c r="J18" s="45">
        <v>0.05000000074505806</v>
      </c>
      <c r="K18" s="45">
        <v>0.05000000074505806</v>
      </c>
      <c r="L18" s="45">
        <v>0.05000000074505806</v>
      </c>
      <c r="M18" s="45">
        <v>0.05000000074505806</v>
      </c>
      <c r="N18" s="45">
        <v>0.05000000074505806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14.25">
      <c r="A19" s="33">
        <v>2014</v>
      </c>
      <c r="B19" s="45">
        <v>0.05000000074505806</v>
      </c>
      <c r="C19" s="45">
        <v>0.05000000074505806</v>
      </c>
      <c r="D19" s="45">
        <v>0.05000000074505806</v>
      </c>
      <c r="E19" s="45">
        <v>0.05000000074505806</v>
      </c>
      <c r="F19" s="45">
        <v>0.05000000074505806</v>
      </c>
      <c r="G19" s="45">
        <v>0.05000000074505806</v>
      </c>
      <c r="H19" s="45">
        <v>0.05000000074505806</v>
      </c>
      <c r="I19" s="45">
        <v>0.05000000074505806</v>
      </c>
      <c r="J19" s="45">
        <v>0.05000000074505806</v>
      </c>
      <c r="K19" s="45">
        <v>0.05000000074505806</v>
      </c>
      <c r="L19" s="45">
        <v>0.05000000074505806</v>
      </c>
      <c r="M19" s="45">
        <v>0.05000000074505806</v>
      </c>
      <c r="N19" s="45">
        <v>0.05000000074505806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4.25">
      <c r="A20" s="32">
        <v>2015</v>
      </c>
      <c r="B20" s="45">
        <v>0.05000000074505806</v>
      </c>
      <c r="C20" s="45">
        <v>0.05000000074505806</v>
      </c>
      <c r="D20" s="45">
        <v>0.05000000074505806</v>
      </c>
      <c r="E20" s="45">
        <v>0.05000000074505806</v>
      </c>
      <c r="F20" s="45">
        <v>0.05000000074505806</v>
      </c>
      <c r="G20" s="45">
        <v>0.05000000074505806</v>
      </c>
      <c r="H20" s="45">
        <v>0.05000000074505806</v>
      </c>
      <c r="I20" s="45">
        <v>0.05000000074505806</v>
      </c>
      <c r="J20" s="45">
        <v>0.05000000074505806</v>
      </c>
      <c r="K20" s="45">
        <v>0.05000000074505806</v>
      </c>
      <c r="L20" s="45">
        <v>0.05000000074505806</v>
      </c>
      <c r="M20" s="45">
        <v>0.05000000074505806</v>
      </c>
      <c r="N20" s="45">
        <v>0.05000000074505806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4.25">
      <c r="A21" s="33">
        <v>2016</v>
      </c>
      <c r="B21" s="45">
        <v>0.05000000074505806</v>
      </c>
      <c r="C21" s="45">
        <v>0.05000000074505806</v>
      </c>
      <c r="D21" s="45">
        <v>0.05000000074505806</v>
      </c>
      <c r="E21" s="45">
        <v>0.05000000074505806</v>
      </c>
      <c r="F21" s="45">
        <v>0.05000000074505806</v>
      </c>
      <c r="G21" s="45">
        <v>0.05000000074505806</v>
      </c>
      <c r="H21" s="45">
        <v>0.05000000074505806</v>
      </c>
      <c r="I21" s="45">
        <v>0.05000000074505806</v>
      </c>
      <c r="J21" s="45">
        <v>0.05000000074505806</v>
      </c>
      <c r="K21" s="45">
        <v>0.05000000074505806</v>
      </c>
      <c r="L21" s="45">
        <v>0.05000000074505806</v>
      </c>
      <c r="M21" s="45">
        <v>0.05000000074505806</v>
      </c>
      <c r="N21" s="45">
        <v>0.05000000074505806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4.25">
      <c r="A22" s="32">
        <v>2017</v>
      </c>
      <c r="B22" s="45">
        <v>0.05000000074505806</v>
      </c>
      <c r="C22" s="45">
        <v>0.05000000074505806</v>
      </c>
      <c r="D22" s="45">
        <v>0.05000000074505806</v>
      </c>
      <c r="E22" s="45">
        <v>0.05000000074505806</v>
      </c>
      <c r="F22" s="45">
        <v>0.05000000074505806</v>
      </c>
      <c r="G22" s="45">
        <v>0.05000000074505806</v>
      </c>
      <c r="H22" s="45">
        <v>0.05000000074505806</v>
      </c>
      <c r="I22" s="45">
        <v>0.05000000074505806</v>
      </c>
      <c r="J22" s="45">
        <v>0.05000000074505806</v>
      </c>
      <c r="K22" s="45">
        <v>0.05000000074505806</v>
      </c>
      <c r="L22" s="45">
        <v>0.05000000074505806</v>
      </c>
      <c r="M22" s="45">
        <v>0.05000000074505806</v>
      </c>
      <c r="N22" s="45">
        <v>0.05000000074505806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4.25">
      <c r="A23" s="32">
        <v>2018</v>
      </c>
      <c r="B23" s="45">
        <v>0.05000000074505806</v>
      </c>
      <c r="C23" s="45">
        <v>0.05000000074505806</v>
      </c>
      <c r="D23" s="45">
        <v>0.05000000074505806</v>
      </c>
      <c r="E23" s="45">
        <v>0.05000000074505806</v>
      </c>
      <c r="F23" s="45">
        <v>0.05000000074505806</v>
      </c>
      <c r="G23" s="45">
        <v>0.05000000074505806</v>
      </c>
      <c r="H23" s="45">
        <v>0.05000000074505806</v>
      </c>
      <c r="I23" s="45">
        <v>0.05000000074505806</v>
      </c>
      <c r="J23" s="45">
        <v>0.05000000074505806</v>
      </c>
      <c r="K23" s="45">
        <v>0.05000000074505806</v>
      </c>
      <c r="L23" s="45">
        <v>0.05000000074505806</v>
      </c>
      <c r="M23" s="45">
        <v>0.05000000074505806</v>
      </c>
      <c r="N23" s="45">
        <v>0.05000000074505806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4.25">
      <c r="A24" s="32">
        <v>2019</v>
      </c>
      <c r="B24" s="45">
        <v>0.05000000074505806</v>
      </c>
      <c r="C24" s="45">
        <v>0.05000000074505806</v>
      </c>
      <c r="D24" s="45">
        <v>0.05000000074505806</v>
      </c>
      <c r="E24" s="45">
        <v>0.05000000074505806</v>
      </c>
      <c r="F24" s="45">
        <v>0.05000000074505806</v>
      </c>
      <c r="G24" s="45">
        <v>0.05000000074505806</v>
      </c>
      <c r="H24" s="45">
        <v>0.05000000074505806</v>
      </c>
      <c r="I24" s="45">
        <v>0.05000000074505806</v>
      </c>
      <c r="J24" s="45">
        <v>0.05</v>
      </c>
      <c r="K24" s="45">
        <v>0.05000000074505806</v>
      </c>
      <c r="L24" s="45">
        <v>0.05000000074505806</v>
      </c>
      <c r="M24" s="45">
        <v>0.05000000074505806</v>
      </c>
      <c r="N24" s="45">
        <v>0.05000000074505806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4.25">
      <c r="A25" s="34">
        <v>2020</v>
      </c>
      <c r="B25" s="90">
        <v>0.05000000074505806</v>
      </c>
      <c r="C25" s="90">
        <v>0.05000000074505806</v>
      </c>
      <c r="D25" s="90">
        <v>0.05000000074505806</v>
      </c>
      <c r="E25" s="90">
        <v>0.05</v>
      </c>
      <c r="F25" s="90">
        <v>0.05</v>
      </c>
      <c r="G25" s="90">
        <v>0.05</v>
      </c>
      <c r="H25" s="90">
        <v>0.05</v>
      </c>
      <c r="I25" s="90">
        <v>0.05</v>
      </c>
      <c r="J25" s="90">
        <v>0.05</v>
      </c>
      <c r="K25" s="90">
        <v>0.05</v>
      </c>
      <c r="L25" s="90">
        <v>0.05</v>
      </c>
      <c r="M25" s="90">
        <v>0.05</v>
      </c>
      <c r="N25" s="90">
        <v>0.05000000074505806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14" ht="14.25">
      <c r="A26" s="34">
        <v>2021</v>
      </c>
      <c r="B26" s="90">
        <v>0.05000000074505806</v>
      </c>
      <c r="C26" s="90">
        <v>0.05000000074505806</v>
      </c>
      <c r="D26" s="90">
        <v>0.05000000074505806</v>
      </c>
      <c r="E26" s="90">
        <v>0.05</v>
      </c>
      <c r="F26" s="90">
        <v>0.05</v>
      </c>
      <c r="G26" s="90">
        <v>0.05</v>
      </c>
      <c r="H26" s="90">
        <v>0.05</v>
      </c>
      <c r="I26" s="90">
        <v>0.05</v>
      </c>
      <c r="J26" s="90">
        <v>0.05</v>
      </c>
      <c r="K26" s="90">
        <v>0.05</v>
      </c>
      <c r="L26" s="90">
        <v>0.05</v>
      </c>
      <c r="M26" s="90">
        <v>0.05</v>
      </c>
      <c r="N26" s="90">
        <v>0.05000000074505806</v>
      </c>
    </row>
    <row r="27" spans="1:14" ht="14.25">
      <c r="A27" s="34">
        <v>2022</v>
      </c>
      <c r="B27" s="90">
        <v>0.05000000074505806</v>
      </c>
      <c r="C27" s="90">
        <v>0.05000000074505806</v>
      </c>
      <c r="D27" s="90">
        <v>0.05000000074505806</v>
      </c>
      <c r="E27" s="90">
        <v>0.05</v>
      </c>
      <c r="F27" s="90">
        <v>0.05</v>
      </c>
      <c r="G27" s="90">
        <v>0.05</v>
      </c>
      <c r="H27" s="90">
        <v>0.05</v>
      </c>
      <c r="I27" s="90">
        <v>0.05</v>
      </c>
      <c r="J27" s="90">
        <v>0.05</v>
      </c>
      <c r="K27" s="90">
        <v>0.05</v>
      </c>
      <c r="L27" s="90">
        <v>0.05</v>
      </c>
      <c r="M27" s="90">
        <v>0.05</v>
      </c>
      <c r="N27" s="90">
        <v>0.05000000074505806</v>
      </c>
    </row>
    <row r="28" spans="1:14" ht="14.25">
      <c r="A28" s="38">
        <v>2023</v>
      </c>
      <c r="B28" s="78">
        <v>0.05000000074505806</v>
      </c>
      <c r="C28" s="78">
        <v>0.05000000074505806</v>
      </c>
      <c r="D28" s="78">
        <v>0.05000000074505806</v>
      </c>
      <c r="E28" s="78">
        <v>0.05</v>
      </c>
      <c r="F28" s="78">
        <v>0.05</v>
      </c>
      <c r="G28" s="78">
        <v>0.05</v>
      </c>
      <c r="H28" s="78">
        <v>0.05</v>
      </c>
      <c r="I28" s="78">
        <v>0.05</v>
      </c>
      <c r="J28" s="78">
        <v>0.05</v>
      </c>
      <c r="K28" s="78">
        <v>0.05</v>
      </c>
      <c r="L28" s="78">
        <v>0.05</v>
      </c>
      <c r="M28" s="78">
        <v>0.05</v>
      </c>
      <c r="N28" s="78">
        <v>0.05000000074505806</v>
      </c>
    </row>
    <row r="29" spans="2:14" ht="14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4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AH32"/>
  <sheetViews>
    <sheetView zoomScale="90" zoomScaleNormal="90" zoomScalePageLayoutView="0" workbookViewId="0" topLeftCell="A1">
      <selection activeCell="L29" sqref="L29"/>
    </sheetView>
  </sheetViews>
  <sheetFormatPr defaultColWidth="9.140625" defaultRowHeight="12.75"/>
  <cols>
    <col min="1" max="1" width="6.7109375" style="28" customWidth="1"/>
    <col min="2" max="13" width="9.140625" style="28" customWidth="1"/>
    <col min="14" max="14" width="9.57421875" style="28" bestFit="1" customWidth="1"/>
    <col min="15" max="16384" width="9.140625" style="28" customWidth="1"/>
  </cols>
  <sheetData>
    <row r="1" ht="15.75">
      <c r="A1" s="36" t="s">
        <v>148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7"/>
      <c r="B4" s="101" t="s">
        <v>26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34" ht="14.25">
      <c r="A5" s="33">
        <v>2000</v>
      </c>
      <c r="B5" s="39">
        <v>6372</v>
      </c>
      <c r="C5" s="39">
        <v>6304</v>
      </c>
      <c r="D5" s="39">
        <v>6363</v>
      </c>
      <c r="E5" s="39">
        <v>6228</v>
      </c>
      <c r="F5" s="39">
        <v>6395</v>
      </c>
      <c r="G5" s="39">
        <v>6385</v>
      </c>
      <c r="H5" s="39">
        <v>6438</v>
      </c>
      <c r="I5" s="39">
        <v>7026</v>
      </c>
      <c r="J5" s="39">
        <v>7811</v>
      </c>
      <c r="K5" s="39">
        <v>7992</v>
      </c>
      <c r="L5" s="39">
        <v>8229</v>
      </c>
      <c r="M5" s="39">
        <v>7570</v>
      </c>
      <c r="N5" s="39">
        <f aca="true" t="shared" si="0" ref="N5:N28">AVERAGE(B5:M5)</f>
        <v>6926.083333333333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25">
      <c r="A6" s="32">
        <v>2001</v>
      </c>
      <c r="B6" s="39">
        <v>8155</v>
      </c>
      <c r="C6" s="39">
        <v>7698</v>
      </c>
      <c r="D6" s="39">
        <v>7576</v>
      </c>
      <c r="E6" s="39">
        <v>7874</v>
      </c>
      <c r="F6" s="39">
        <v>8506</v>
      </c>
      <c r="G6" s="39">
        <v>8848</v>
      </c>
      <c r="H6" s="39">
        <v>9059</v>
      </c>
      <c r="I6" s="39">
        <v>8858</v>
      </c>
      <c r="J6" s="39">
        <v>8084</v>
      </c>
      <c r="K6" s="39">
        <v>8088</v>
      </c>
      <c r="L6" s="39">
        <v>8435</v>
      </c>
      <c r="M6" s="39">
        <v>8547</v>
      </c>
      <c r="N6" s="39">
        <f t="shared" si="0"/>
        <v>8310.666666666666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14.25">
      <c r="A7" s="33">
        <v>2002</v>
      </c>
      <c r="B7" s="39">
        <v>8038</v>
      </c>
      <c r="C7" s="39">
        <v>8154</v>
      </c>
      <c r="D7" s="39">
        <v>8684</v>
      </c>
      <c r="E7" s="39">
        <v>8397</v>
      </c>
      <c r="F7" s="39">
        <v>8618</v>
      </c>
      <c r="G7" s="39">
        <v>8414</v>
      </c>
      <c r="H7" s="39">
        <v>8328</v>
      </c>
      <c r="I7" s="39">
        <v>7772</v>
      </c>
      <c r="J7" s="39">
        <v>7933</v>
      </c>
      <c r="K7" s="39">
        <v>7947</v>
      </c>
      <c r="L7" s="39">
        <v>7902</v>
      </c>
      <c r="M7" s="39">
        <v>7616</v>
      </c>
      <c r="N7" s="39">
        <f t="shared" si="0"/>
        <v>8150.25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14.25">
      <c r="A8" s="32">
        <v>2003</v>
      </c>
      <c r="B8" s="39">
        <v>7458</v>
      </c>
      <c r="C8" s="39">
        <v>7430</v>
      </c>
      <c r="D8" s="39">
        <v>7392</v>
      </c>
      <c r="E8" s="39">
        <v>7301</v>
      </c>
      <c r="F8" s="39">
        <v>7280</v>
      </c>
      <c r="G8" s="39">
        <v>7244</v>
      </c>
      <c r="H8" s="39">
        <v>6418</v>
      </c>
      <c r="I8" s="39">
        <v>7718</v>
      </c>
      <c r="J8" s="39">
        <v>7571</v>
      </c>
      <c r="K8" s="39">
        <v>7632</v>
      </c>
      <c r="L8" s="39">
        <v>7566</v>
      </c>
      <c r="M8" s="39">
        <v>7431</v>
      </c>
      <c r="N8" s="39">
        <f t="shared" si="0"/>
        <v>7370.083333333333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14.25">
      <c r="A9" s="33">
        <v>2004</v>
      </c>
      <c r="B9" s="39">
        <v>7207</v>
      </c>
      <c r="C9" s="39">
        <v>7087</v>
      </c>
      <c r="D9" s="39">
        <v>7092</v>
      </c>
      <c r="E9" s="39">
        <v>6682</v>
      </c>
      <c r="F9" s="39">
        <v>6152</v>
      </c>
      <c r="G9" s="39">
        <v>7328</v>
      </c>
      <c r="H9" s="39">
        <v>6853</v>
      </c>
      <c r="I9" s="39">
        <v>7428</v>
      </c>
      <c r="J9" s="39">
        <v>7394</v>
      </c>
      <c r="K9" s="39">
        <v>7354</v>
      </c>
      <c r="L9" s="39">
        <v>7401</v>
      </c>
      <c r="M9" s="39">
        <v>6971</v>
      </c>
      <c r="N9" s="39">
        <f t="shared" si="0"/>
        <v>7079.083333333333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4.25">
      <c r="A10" s="33">
        <v>2005</v>
      </c>
      <c r="B10" s="39">
        <v>6909</v>
      </c>
      <c r="C10" s="39">
        <v>7004</v>
      </c>
      <c r="D10" s="39">
        <v>6927</v>
      </c>
      <c r="E10" s="39">
        <v>7060</v>
      </c>
      <c r="F10" s="39">
        <v>6986</v>
      </c>
      <c r="G10" s="39">
        <v>6940</v>
      </c>
      <c r="H10" s="39">
        <v>6786</v>
      </c>
      <c r="I10" s="39">
        <v>6342</v>
      </c>
      <c r="J10" s="39">
        <v>6284</v>
      </c>
      <c r="K10" s="39">
        <v>6207</v>
      </c>
      <c r="L10" s="39">
        <v>6147</v>
      </c>
      <c r="M10" s="39">
        <v>6121</v>
      </c>
      <c r="N10" s="39">
        <f t="shared" si="0"/>
        <v>6642.75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14.25">
      <c r="A11" s="33">
        <v>2006</v>
      </c>
      <c r="B11" s="39">
        <v>6032</v>
      </c>
      <c r="C11" s="39">
        <v>5936</v>
      </c>
      <c r="D11" s="39">
        <v>5983</v>
      </c>
      <c r="E11" s="39">
        <v>5980</v>
      </c>
      <c r="F11" s="39">
        <v>5906</v>
      </c>
      <c r="G11" s="39">
        <v>5921</v>
      </c>
      <c r="H11" s="39">
        <v>5798</v>
      </c>
      <c r="I11" s="39">
        <v>5385</v>
      </c>
      <c r="J11" s="39">
        <v>5423</v>
      </c>
      <c r="K11" s="39">
        <v>5231</v>
      </c>
      <c r="L11" s="39">
        <v>5362</v>
      </c>
      <c r="M11" s="39">
        <v>5325</v>
      </c>
      <c r="N11" s="39">
        <f t="shared" si="0"/>
        <v>5690.166666666667</v>
      </c>
      <c r="O11" s="42"/>
      <c r="P11" s="42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42"/>
      <c r="AE11" s="42"/>
      <c r="AF11" s="42"/>
      <c r="AG11" s="42"/>
      <c r="AH11" s="42"/>
    </row>
    <row r="12" spans="1:34" ht="14.25">
      <c r="A12" s="32">
        <v>2007</v>
      </c>
      <c r="B12" s="39">
        <v>5270</v>
      </c>
      <c r="C12" s="39">
        <v>5227</v>
      </c>
      <c r="D12" s="39">
        <v>5259</v>
      </c>
      <c r="E12" s="39">
        <v>5202</v>
      </c>
      <c r="F12" s="39">
        <v>5129</v>
      </c>
      <c r="G12" s="39">
        <v>5140</v>
      </c>
      <c r="H12" s="39">
        <v>5063</v>
      </c>
      <c r="I12" s="39">
        <v>5468</v>
      </c>
      <c r="J12" s="39">
        <v>5491</v>
      </c>
      <c r="K12" s="39">
        <v>5462</v>
      </c>
      <c r="L12" s="39">
        <v>5484</v>
      </c>
      <c r="M12" s="39">
        <v>5437</v>
      </c>
      <c r="N12" s="39">
        <f t="shared" si="0"/>
        <v>5302.666666666667</v>
      </c>
      <c r="O12" s="42"/>
      <c r="P12" s="42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42"/>
      <c r="AE12" s="42"/>
      <c r="AF12" s="42"/>
      <c r="AG12" s="42"/>
      <c r="AH12" s="42"/>
    </row>
    <row r="13" spans="1:34" ht="14.25">
      <c r="A13" s="33">
        <v>2008</v>
      </c>
      <c r="B13" s="39">
        <v>5441</v>
      </c>
      <c r="C13" s="39">
        <v>5264</v>
      </c>
      <c r="D13" s="39">
        <v>5220</v>
      </c>
      <c r="E13" s="39">
        <v>5223</v>
      </c>
      <c r="F13" s="39">
        <v>5061</v>
      </c>
      <c r="G13" s="39">
        <v>4965</v>
      </c>
      <c r="H13" s="39">
        <v>4934</v>
      </c>
      <c r="I13" s="39">
        <v>4982</v>
      </c>
      <c r="J13" s="39">
        <v>4798</v>
      </c>
      <c r="K13" s="39">
        <v>4916</v>
      </c>
      <c r="L13" s="39">
        <v>4871</v>
      </c>
      <c r="M13" s="39">
        <v>4937</v>
      </c>
      <c r="N13" s="39">
        <f t="shared" si="0"/>
        <v>5051</v>
      </c>
      <c r="O13" s="42"/>
      <c r="P13" s="42"/>
      <c r="Q13" s="79"/>
      <c r="R13" s="79"/>
      <c r="S13" s="79"/>
      <c r="T13" s="79"/>
      <c r="U13" s="79"/>
      <c r="V13" s="79"/>
      <c r="W13" s="79"/>
      <c r="X13" s="79"/>
      <c r="Y13" s="29"/>
      <c r="Z13" s="29"/>
      <c r="AA13" s="29"/>
      <c r="AB13" s="29"/>
      <c r="AC13" s="79"/>
      <c r="AD13" s="42"/>
      <c r="AE13" s="42"/>
      <c r="AF13" s="42"/>
      <c r="AG13" s="42"/>
      <c r="AH13" s="42"/>
    </row>
    <row r="14" spans="1:34" ht="14.25">
      <c r="A14" s="32">
        <v>2009</v>
      </c>
      <c r="B14" s="39">
        <v>5037</v>
      </c>
      <c r="C14" s="39">
        <v>4880</v>
      </c>
      <c r="D14" s="39">
        <v>4865</v>
      </c>
      <c r="E14" s="39">
        <v>4835</v>
      </c>
      <c r="F14" s="39">
        <v>4862</v>
      </c>
      <c r="G14" s="39">
        <v>4840</v>
      </c>
      <c r="H14" s="39">
        <v>4837</v>
      </c>
      <c r="I14" s="39">
        <v>4772</v>
      </c>
      <c r="J14" s="39">
        <v>4743</v>
      </c>
      <c r="K14" s="39">
        <v>4800</v>
      </c>
      <c r="L14" s="39">
        <v>4828</v>
      </c>
      <c r="M14" s="39">
        <v>4744</v>
      </c>
      <c r="N14" s="39">
        <f t="shared" si="0"/>
        <v>4836.916666666667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ht="14.25">
      <c r="A15" s="33">
        <v>2010</v>
      </c>
      <c r="B15" s="39">
        <v>4838</v>
      </c>
      <c r="C15" s="39">
        <v>4711</v>
      </c>
      <c r="D15" s="39">
        <v>4739</v>
      </c>
      <c r="E15" s="39">
        <v>4972</v>
      </c>
      <c r="F15" s="39">
        <v>4856</v>
      </c>
      <c r="G15" s="39">
        <v>4758</v>
      </c>
      <c r="H15" s="39">
        <v>4448</v>
      </c>
      <c r="I15" s="39">
        <v>4639</v>
      </c>
      <c r="J15" s="39">
        <v>4641</v>
      </c>
      <c r="K15" s="39">
        <v>4687</v>
      </c>
      <c r="L15" s="39">
        <v>4595</v>
      </c>
      <c r="M15" s="39">
        <v>4578</v>
      </c>
      <c r="N15" s="39">
        <f t="shared" si="0"/>
        <v>4705.166666666667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14.25">
      <c r="A16" s="32">
        <v>2011</v>
      </c>
      <c r="B16" s="39">
        <v>4519</v>
      </c>
      <c r="C16" s="39">
        <v>4494</v>
      </c>
      <c r="D16" s="39">
        <v>4765</v>
      </c>
      <c r="E16" s="39">
        <v>4530</v>
      </c>
      <c r="F16" s="39">
        <v>4533</v>
      </c>
      <c r="G16" s="39">
        <v>4616</v>
      </c>
      <c r="H16" s="39">
        <v>4572</v>
      </c>
      <c r="I16" s="39">
        <v>4531</v>
      </c>
      <c r="J16" s="39">
        <v>4521</v>
      </c>
      <c r="K16" s="39">
        <v>4495</v>
      </c>
      <c r="L16" s="39">
        <v>4458</v>
      </c>
      <c r="M16" s="39">
        <v>4438</v>
      </c>
      <c r="N16" s="39">
        <f t="shared" si="0"/>
        <v>4539.333333333333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ht="14.25">
      <c r="A17" s="33">
        <v>2012</v>
      </c>
      <c r="B17" s="39">
        <v>4419</v>
      </c>
      <c r="C17" s="39">
        <v>4398</v>
      </c>
      <c r="D17" s="39">
        <v>4427</v>
      </c>
      <c r="E17" s="39">
        <v>4478</v>
      </c>
      <c r="F17" s="39">
        <v>4480</v>
      </c>
      <c r="G17" s="39">
        <v>4351</v>
      </c>
      <c r="H17" s="39">
        <v>4217</v>
      </c>
      <c r="I17" s="39">
        <v>4178</v>
      </c>
      <c r="J17" s="39">
        <v>4208</v>
      </c>
      <c r="K17" s="39">
        <v>4102</v>
      </c>
      <c r="L17" s="39">
        <v>4112</v>
      </c>
      <c r="M17" s="39">
        <v>4057</v>
      </c>
      <c r="N17" s="39">
        <f t="shared" si="0"/>
        <v>4285.583333333333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4.25">
      <c r="A18" s="32">
        <v>2013</v>
      </c>
      <c r="B18" s="39">
        <v>4059</v>
      </c>
      <c r="C18" s="39">
        <v>4086</v>
      </c>
      <c r="D18" s="39">
        <v>4128</v>
      </c>
      <c r="E18" s="39">
        <v>4102</v>
      </c>
      <c r="F18" s="39">
        <v>4138</v>
      </c>
      <c r="G18" s="39">
        <v>4136</v>
      </c>
      <c r="H18" s="39">
        <v>4034</v>
      </c>
      <c r="I18" s="39">
        <v>4225</v>
      </c>
      <c r="J18" s="39">
        <v>4348</v>
      </c>
      <c r="K18" s="39">
        <v>4244</v>
      </c>
      <c r="L18" s="39">
        <v>4166</v>
      </c>
      <c r="M18" s="39">
        <v>4131</v>
      </c>
      <c r="N18" s="39">
        <f t="shared" si="0"/>
        <v>4149.75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14.25">
      <c r="A19" s="33">
        <v>2014</v>
      </c>
      <c r="B19" s="39">
        <v>4079</v>
      </c>
      <c r="C19" s="39">
        <v>4079</v>
      </c>
      <c r="D19" s="39">
        <v>4055</v>
      </c>
      <c r="E19" s="39">
        <v>4054</v>
      </c>
      <c r="F19" s="39">
        <v>4119</v>
      </c>
      <c r="G19" s="39">
        <v>4048</v>
      </c>
      <c r="H19" s="39">
        <v>4391</v>
      </c>
      <c r="I19" s="39">
        <v>4144</v>
      </c>
      <c r="J19" s="39">
        <v>4087</v>
      </c>
      <c r="K19" s="39">
        <v>4052</v>
      </c>
      <c r="L19" s="39">
        <v>4078</v>
      </c>
      <c r="M19" s="39">
        <v>3943</v>
      </c>
      <c r="N19" s="39">
        <f t="shared" si="0"/>
        <v>4094.0833333333335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4.25">
      <c r="A20" s="32">
        <v>2015</v>
      </c>
      <c r="B20" s="39">
        <v>3945</v>
      </c>
      <c r="C20" s="39">
        <v>3869</v>
      </c>
      <c r="D20" s="39">
        <v>3833</v>
      </c>
      <c r="E20" s="39">
        <v>4263</v>
      </c>
      <c r="F20" s="39">
        <v>3964</v>
      </c>
      <c r="G20" s="39">
        <v>3857</v>
      </c>
      <c r="H20" s="39">
        <v>3779</v>
      </c>
      <c r="I20" s="39">
        <v>3727</v>
      </c>
      <c r="J20" s="39">
        <v>3693</v>
      </c>
      <c r="K20" s="39">
        <v>3696</v>
      </c>
      <c r="L20" s="39">
        <v>3705</v>
      </c>
      <c r="M20" s="39">
        <v>3719</v>
      </c>
      <c r="N20" s="39">
        <f t="shared" si="0"/>
        <v>3837.5</v>
      </c>
      <c r="O20" s="42"/>
      <c r="P20" s="42"/>
      <c r="Q20" s="42"/>
      <c r="R20" s="42"/>
      <c r="S20" s="42"/>
      <c r="T20" s="42">
        <v>3495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4.25">
      <c r="A21" s="33">
        <v>2016</v>
      </c>
      <c r="B21" s="39">
        <v>3662</v>
      </c>
      <c r="C21" s="39">
        <v>3565</v>
      </c>
      <c r="D21" s="39">
        <v>3586</v>
      </c>
      <c r="E21" s="39">
        <v>3523</v>
      </c>
      <c r="F21" s="39">
        <v>3649</v>
      </c>
      <c r="G21" s="39">
        <v>3611</v>
      </c>
      <c r="H21" s="39">
        <v>3638</v>
      </c>
      <c r="I21" s="39">
        <v>3588</v>
      </c>
      <c r="J21" s="39">
        <v>3658</v>
      </c>
      <c r="K21" s="39">
        <v>3556</v>
      </c>
      <c r="L21" s="39">
        <v>3587</v>
      </c>
      <c r="M21" s="39">
        <v>3500</v>
      </c>
      <c r="N21" s="39">
        <f t="shared" si="0"/>
        <v>3593.5833333333335</v>
      </c>
      <c r="O21" s="42"/>
      <c r="P21" s="42"/>
      <c r="Q21" s="42"/>
      <c r="R21" s="42"/>
      <c r="S21" s="42"/>
      <c r="T21" s="42">
        <v>1032</v>
      </c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4.25">
      <c r="A22" s="32">
        <v>2017</v>
      </c>
      <c r="B22" s="39">
        <v>3523</v>
      </c>
      <c r="C22" s="39">
        <v>3415</v>
      </c>
      <c r="D22" s="39">
        <v>3397</v>
      </c>
      <c r="E22" s="39">
        <v>3641</v>
      </c>
      <c r="F22" s="39">
        <v>3365</v>
      </c>
      <c r="G22" s="39">
        <v>3344</v>
      </c>
      <c r="H22" s="39">
        <v>3337</v>
      </c>
      <c r="I22" s="39">
        <v>3301</v>
      </c>
      <c r="J22" s="39">
        <v>3311</v>
      </c>
      <c r="K22" s="39">
        <v>3288</v>
      </c>
      <c r="L22" s="39">
        <v>3275</v>
      </c>
      <c r="M22" s="39">
        <v>3378</v>
      </c>
      <c r="N22" s="39">
        <f t="shared" si="0"/>
        <v>3381.25</v>
      </c>
      <c r="O22" s="42"/>
      <c r="P22" s="42"/>
      <c r="Q22" s="42"/>
      <c r="R22" s="42"/>
      <c r="S22" s="42"/>
      <c r="T22" s="42">
        <f>+T20-T21</f>
        <v>2463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4.25">
      <c r="A23" s="32">
        <v>2018</v>
      </c>
      <c r="B23" s="39">
        <v>3358</v>
      </c>
      <c r="C23" s="39">
        <v>3306</v>
      </c>
      <c r="D23" s="39">
        <v>3275</v>
      </c>
      <c r="E23" s="39">
        <v>3244</v>
      </c>
      <c r="F23" s="39">
        <v>3228</v>
      </c>
      <c r="G23" s="39">
        <v>3234</v>
      </c>
      <c r="H23" s="39">
        <v>3200</v>
      </c>
      <c r="I23" s="39">
        <v>3177</v>
      </c>
      <c r="J23" s="39">
        <v>3153</v>
      </c>
      <c r="K23" s="39">
        <v>3147</v>
      </c>
      <c r="L23" s="39">
        <v>3135</v>
      </c>
      <c r="M23" s="39">
        <v>3186</v>
      </c>
      <c r="N23" s="39">
        <f t="shared" si="0"/>
        <v>3220.25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4.25">
      <c r="A24" s="32">
        <v>2019</v>
      </c>
      <c r="B24" s="39">
        <f>4311-1268</f>
        <v>3043</v>
      </c>
      <c r="C24" s="39">
        <f>4399-1263</f>
        <v>3136</v>
      </c>
      <c r="D24" s="39">
        <f>4284-1239</f>
        <v>3045</v>
      </c>
      <c r="E24" s="39">
        <f>4291-1256</f>
        <v>3035</v>
      </c>
      <c r="F24" s="39">
        <f>4221-1224</f>
        <v>2997</v>
      </c>
      <c r="G24" s="39">
        <f>4201-1211</f>
        <v>2990</v>
      </c>
      <c r="H24" s="39">
        <f>4125-1170</f>
        <v>2955</v>
      </c>
      <c r="I24" s="39">
        <f>4071-1230</f>
        <v>2841</v>
      </c>
      <c r="J24" s="39">
        <f>4079-1226</f>
        <v>2853</v>
      </c>
      <c r="K24" s="39">
        <f>4147-1235</f>
        <v>2912</v>
      </c>
      <c r="L24" s="39">
        <v>2846</v>
      </c>
      <c r="M24" s="39">
        <v>2822</v>
      </c>
      <c r="N24" s="39">
        <f t="shared" si="0"/>
        <v>2956.25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4.25">
      <c r="A25" s="34">
        <v>2020</v>
      </c>
      <c r="B25" s="79">
        <v>2864</v>
      </c>
      <c r="C25" s="79">
        <v>2880</v>
      </c>
      <c r="D25" s="79">
        <v>2890</v>
      </c>
      <c r="E25" s="79">
        <f>3950-1148</f>
        <v>2802</v>
      </c>
      <c r="F25" s="79">
        <f>3948-1125</f>
        <v>2823</v>
      </c>
      <c r="G25" s="79">
        <v>2485</v>
      </c>
      <c r="H25" s="79">
        <f>3434-1127</f>
        <v>2307</v>
      </c>
      <c r="I25" s="79">
        <v>2658</v>
      </c>
      <c r="J25" s="79">
        <f>3877-1083</f>
        <v>2794</v>
      </c>
      <c r="K25" s="79">
        <f>3826-1059</f>
        <v>2767</v>
      </c>
      <c r="L25" s="79">
        <f>3752-1062</f>
        <v>2690</v>
      </c>
      <c r="M25" s="79">
        <v>2683</v>
      </c>
      <c r="N25" s="39">
        <f t="shared" si="0"/>
        <v>2720.25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14" ht="14.25">
      <c r="A26" s="34">
        <v>2021</v>
      </c>
      <c r="B26" s="79">
        <v>2635</v>
      </c>
      <c r="C26" s="79">
        <v>2611</v>
      </c>
      <c r="D26" s="79">
        <f>3586-1115</f>
        <v>2471</v>
      </c>
      <c r="E26" s="79">
        <f>3491-1038</f>
        <v>2453</v>
      </c>
      <c r="F26" s="79">
        <f>3555-1042</f>
        <v>2513</v>
      </c>
      <c r="G26" s="79">
        <f>3816-1057</f>
        <v>2759</v>
      </c>
      <c r="H26" s="79">
        <f>3661-1056</f>
        <v>2605</v>
      </c>
      <c r="I26" s="79">
        <f>3616-1070</f>
        <v>2546</v>
      </c>
      <c r="J26" s="79">
        <f>3583-1041</f>
        <v>2542</v>
      </c>
      <c r="K26" s="79">
        <f>3430-1017</f>
        <v>2413</v>
      </c>
      <c r="L26" s="79">
        <f>3500-1023</f>
        <v>2477</v>
      </c>
      <c r="M26" s="79">
        <f>3572-1030</f>
        <v>2542</v>
      </c>
      <c r="N26" s="39">
        <f t="shared" si="0"/>
        <v>2547.25</v>
      </c>
    </row>
    <row r="27" spans="1:14" ht="14.25">
      <c r="A27" s="34">
        <v>2022</v>
      </c>
      <c r="B27" s="79">
        <f>3666-1077</f>
        <v>2589</v>
      </c>
      <c r="C27" s="79">
        <f>3394-1040</f>
        <v>2354</v>
      </c>
      <c r="D27" s="79">
        <f>3394-1040</f>
        <v>2354</v>
      </c>
      <c r="E27" s="79">
        <f>3406-1013</f>
        <v>2393</v>
      </c>
      <c r="F27" s="79">
        <v>3369</v>
      </c>
      <c r="G27" s="79">
        <f>3389-1014</f>
        <v>2375</v>
      </c>
      <c r="H27" s="79">
        <f>3332-1014</f>
        <v>2318</v>
      </c>
      <c r="I27" s="79">
        <f>3531-1035</f>
        <v>2496</v>
      </c>
      <c r="J27" s="79">
        <f>3449-1019</f>
        <v>2430</v>
      </c>
      <c r="K27" s="79">
        <f>3423-1009</f>
        <v>2414</v>
      </c>
      <c r="L27" s="79">
        <f>3409-990</f>
        <v>2419</v>
      </c>
      <c r="M27" s="79">
        <f>3425-1010</f>
        <v>2415</v>
      </c>
      <c r="N27" s="39">
        <f t="shared" si="0"/>
        <v>2493.8333333333335</v>
      </c>
    </row>
    <row r="28" spans="1:14" ht="14.25">
      <c r="A28" s="38">
        <v>2023</v>
      </c>
      <c r="B28" s="74">
        <f>3323-1008</f>
        <v>2315</v>
      </c>
      <c r="C28" s="74">
        <f>3380-1008</f>
        <v>2372</v>
      </c>
      <c r="D28" s="74">
        <f>3330-975</f>
        <v>2355</v>
      </c>
      <c r="E28" s="74">
        <f>3352-978</f>
        <v>2374</v>
      </c>
      <c r="F28" s="74">
        <f>3360-938</f>
        <v>2422</v>
      </c>
      <c r="G28" s="74">
        <f>3326-975</f>
        <v>2351</v>
      </c>
      <c r="H28" s="74">
        <v>2308</v>
      </c>
      <c r="I28" s="74">
        <v>2395</v>
      </c>
      <c r="J28" s="74">
        <v>2407</v>
      </c>
      <c r="K28" s="74">
        <v>2463</v>
      </c>
      <c r="L28" s="74">
        <v>2500</v>
      </c>
      <c r="M28" s="74">
        <v>2483</v>
      </c>
      <c r="N28" s="74">
        <f t="shared" si="0"/>
        <v>2395.4166666666665</v>
      </c>
    </row>
    <row r="29" spans="2:14" ht="14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4.25">
      <c r="B30" s="30"/>
      <c r="C30" s="28" t="s">
        <v>127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2:14" ht="14.2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2:14" ht="14.2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H31"/>
  <sheetViews>
    <sheetView zoomScale="90" zoomScaleNormal="90" zoomScalePageLayoutView="0" workbookViewId="0" topLeftCell="A1">
      <selection activeCell="L28" sqref="L28"/>
    </sheetView>
  </sheetViews>
  <sheetFormatPr defaultColWidth="9.140625" defaultRowHeight="12.75"/>
  <cols>
    <col min="1" max="1" width="6.7109375" style="28" customWidth="1"/>
    <col min="2" max="16384" width="9.140625" style="28" customWidth="1"/>
  </cols>
  <sheetData>
    <row r="1" ht="15.75">
      <c r="A1" s="36" t="s">
        <v>149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7"/>
      <c r="B4" s="101" t="s">
        <v>27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34" ht="14.25">
      <c r="A5" s="33">
        <v>2000</v>
      </c>
      <c r="B5" s="31">
        <v>66.7225</v>
      </c>
      <c r="C5" s="31">
        <v>66.5611</v>
      </c>
      <c r="D5" s="31">
        <v>66.7191</v>
      </c>
      <c r="E5" s="31">
        <v>66.3966</v>
      </c>
      <c r="F5" s="31">
        <v>67.1321</v>
      </c>
      <c r="G5" s="31">
        <v>67.4092</v>
      </c>
      <c r="H5" s="31">
        <v>67.7185</v>
      </c>
      <c r="I5" s="31">
        <v>69.6264</v>
      </c>
      <c r="J5" s="31">
        <v>71.8385</v>
      </c>
      <c r="K5" s="31">
        <v>72.2604</v>
      </c>
      <c r="L5" s="31">
        <v>73.0752</v>
      </c>
      <c r="M5" s="31">
        <v>71.2202</v>
      </c>
      <c r="N5" s="82">
        <f aca="true" t="shared" si="0" ref="N5:N25">AVERAGE(B5:M5)</f>
        <v>68.88998333333332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25">
      <c r="A6" s="32">
        <v>2001</v>
      </c>
      <c r="B6" s="31">
        <v>72.6051</v>
      </c>
      <c r="C6" s="31">
        <v>71.5295</v>
      </c>
      <c r="D6" s="31">
        <v>71.0828</v>
      </c>
      <c r="E6" s="31">
        <v>71.8562</v>
      </c>
      <c r="F6" s="31">
        <v>73.3529</v>
      </c>
      <c r="G6" s="31">
        <v>74.1535</v>
      </c>
      <c r="H6" s="31">
        <v>74.5597</v>
      </c>
      <c r="I6" s="31">
        <v>74.2311</v>
      </c>
      <c r="J6" s="31">
        <v>72.4438</v>
      </c>
      <c r="K6" s="31">
        <v>72.3823</v>
      </c>
      <c r="L6" s="31">
        <v>73.138</v>
      </c>
      <c r="M6" s="31">
        <v>73.3208</v>
      </c>
      <c r="N6" s="82">
        <f t="shared" si="0"/>
        <v>72.887975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14.25">
      <c r="A7" s="33">
        <v>2002</v>
      </c>
      <c r="B7" s="31">
        <v>72.135</v>
      </c>
      <c r="C7" s="31">
        <v>72.4542</v>
      </c>
      <c r="D7" s="31">
        <v>73.6307</v>
      </c>
      <c r="E7" s="31">
        <v>72.9983</v>
      </c>
      <c r="F7" s="31">
        <v>73.4259</v>
      </c>
      <c r="G7" s="31">
        <v>73.0065</v>
      </c>
      <c r="H7" s="31">
        <v>73.3809</v>
      </c>
      <c r="I7" s="31">
        <v>72.023</v>
      </c>
      <c r="J7" s="31">
        <v>72.3682</v>
      </c>
      <c r="K7" s="31">
        <v>72.5422</v>
      </c>
      <c r="L7" s="31">
        <v>72.4489</v>
      </c>
      <c r="M7" s="31">
        <v>71.3242</v>
      </c>
      <c r="N7" s="82">
        <f t="shared" si="0"/>
        <v>72.64483333333334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14.25">
      <c r="A8" s="32">
        <v>2003</v>
      </c>
      <c r="B8" s="31">
        <v>70.7121</v>
      </c>
      <c r="C8" s="31">
        <v>70.7282</v>
      </c>
      <c r="D8" s="31">
        <v>70.6017</v>
      </c>
      <c r="E8" s="31">
        <v>70.4934</v>
      </c>
      <c r="F8" s="31">
        <v>70.5974</v>
      </c>
      <c r="G8" s="31">
        <v>70.6525</v>
      </c>
      <c r="H8" s="31">
        <v>79.3521</v>
      </c>
      <c r="I8" s="31">
        <v>71.9694</v>
      </c>
      <c r="J8" s="31">
        <v>71.4178</v>
      </c>
      <c r="K8" s="31">
        <v>73.0824</v>
      </c>
      <c r="L8" s="31">
        <v>71.7633</v>
      </c>
      <c r="M8" s="31">
        <v>71.6794</v>
      </c>
      <c r="N8" s="82">
        <f t="shared" si="0"/>
        <v>71.92080833333333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14.25">
      <c r="A9" s="33">
        <v>2004</v>
      </c>
      <c r="B9" s="31">
        <v>71.3635</v>
      </c>
      <c r="C9" s="31">
        <v>71.2834</v>
      </c>
      <c r="D9" s="31">
        <v>71.1548</v>
      </c>
      <c r="E9" s="31">
        <v>70.0787</v>
      </c>
      <c r="F9" s="31">
        <v>68.7835</v>
      </c>
      <c r="G9" s="31">
        <v>70.5226</v>
      </c>
      <c r="H9" s="31">
        <v>70.5985</v>
      </c>
      <c r="I9" s="31">
        <v>72.2428</v>
      </c>
      <c r="J9" s="31">
        <v>72.32</v>
      </c>
      <c r="K9" s="31">
        <v>72.2184</v>
      </c>
      <c r="L9" s="31">
        <v>72.3956</v>
      </c>
      <c r="M9" s="31">
        <v>71.2417</v>
      </c>
      <c r="N9" s="82">
        <f t="shared" si="0"/>
        <v>71.183625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4.25">
      <c r="A10" s="32">
        <v>2005</v>
      </c>
      <c r="B10" s="31">
        <v>71.1754</v>
      </c>
      <c r="C10" s="31">
        <v>71.5278</v>
      </c>
      <c r="D10" s="31">
        <v>71.2728</v>
      </c>
      <c r="E10" s="31">
        <v>71.697</v>
      </c>
      <c r="F10" s="31">
        <v>71.5999</v>
      </c>
      <c r="G10" s="31">
        <v>71.4433</v>
      </c>
      <c r="H10" s="31">
        <v>71.0725</v>
      </c>
      <c r="I10" s="31">
        <v>70.0851</v>
      </c>
      <c r="J10" s="31">
        <v>69.5825</v>
      </c>
      <c r="K10" s="31">
        <v>69.4451</v>
      </c>
      <c r="L10" s="31">
        <v>69.1218</v>
      </c>
      <c r="M10" s="31">
        <v>69.2186</v>
      </c>
      <c r="N10" s="82">
        <f t="shared" si="0"/>
        <v>70.60348333333333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14.25">
      <c r="A11" s="32">
        <v>2006</v>
      </c>
      <c r="B11" s="31">
        <v>68.882</v>
      </c>
      <c r="C11" s="31">
        <v>68.7594</v>
      </c>
      <c r="D11" s="31">
        <v>68.6675</v>
      </c>
      <c r="E11" s="31">
        <v>68.6567</v>
      </c>
      <c r="F11" s="31">
        <v>68.4436</v>
      </c>
      <c r="G11" s="31">
        <v>68.7529</v>
      </c>
      <c r="H11" s="31">
        <v>68.4372</v>
      </c>
      <c r="I11" s="31">
        <v>66.911</v>
      </c>
      <c r="J11" s="31">
        <v>67.2412</v>
      </c>
      <c r="K11" s="31">
        <v>65.4202</v>
      </c>
      <c r="L11" s="31">
        <v>67.1593</v>
      </c>
      <c r="M11" s="31">
        <v>67.1331</v>
      </c>
      <c r="N11" s="82">
        <f t="shared" si="0"/>
        <v>67.87200833333334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1:34" ht="14.25">
      <c r="A12" s="32">
        <v>2007</v>
      </c>
      <c r="B12" s="31">
        <v>67.0228</v>
      </c>
      <c r="C12" s="31">
        <v>67.1161</v>
      </c>
      <c r="D12" s="31">
        <v>67.0022</v>
      </c>
      <c r="E12" s="31">
        <v>66.7865</v>
      </c>
      <c r="F12" s="31">
        <v>66.5931</v>
      </c>
      <c r="G12" s="31">
        <v>67.0843</v>
      </c>
      <c r="H12" s="31">
        <v>66.5834</v>
      </c>
      <c r="I12" s="31">
        <v>68.2988</v>
      </c>
      <c r="J12" s="31">
        <v>68.5433</v>
      </c>
      <c r="K12" s="31">
        <v>68.4547</v>
      </c>
      <c r="L12" s="31">
        <v>68.653</v>
      </c>
      <c r="M12" s="31">
        <v>68.5365</v>
      </c>
      <c r="N12" s="82">
        <f t="shared" si="0"/>
        <v>67.556225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ht="14.25">
      <c r="A13" s="33">
        <v>2008</v>
      </c>
      <c r="B13" s="31">
        <v>68.7168</v>
      </c>
      <c r="C13" s="31">
        <v>68.16</v>
      </c>
      <c r="D13" s="31">
        <v>67.8363</v>
      </c>
      <c r="E13" s="31">
        <v>67.8929</v>
      </c>
      <c r="F13" s="31">
        <v>67.6333</v>
      </c>
      <c r="G13" s="31">
        <v>67.2491</v>
      </c>
      <c r="H13" s="31">
        <v>67.3308</v>
      </c>
      <c r="I13" s="31">
        <v>67.5434</v>
      </c>
      <c r="J13" s="31">
        <v>66.7223</v>
      </c>
      <c r="K13" s="31">
        <v>67.0943</v>
      </c>
      <c r="L13" s="31">
        <v>66.9922</v>
      </c>
      <c r="M13" s="31">
        <v>67.3993</v>
      </c>
      <c r="N13" s="82">
        <f t="shared" si="0"/>
        <v>67.54755833333334</v>
      </c>
      <c r="O13" s="42"/>
      <c r="P13" s="42"/>
      <c r="Q13" s="42"/>
      <c r="R13" s="7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ht="14.25">
      <c r="A14" s="32">
        <v>2009</v>
      </c>
      <c r="B14" s="31">
        <v>67.8658</v>
      </c>
      <c r="C14" s="31">
        <v>67.1067</v>
      </c>
      <c r="D14" s="31">
        <v>67.122</v>
      </c>
      <c r="E14" s="31">
        <v>66.8649</v>
      </c>
      <c r="F14" s="31">
        <v>67.2476</v>
      </c>
      <c r="G14" s="31">
        <v>67.129</v>
      </c>
      <c r="H14" s="31">
        <v>67.4805</v>
      </c>
      <c r="I14" s="31">
        <v>66.9379</v>
      </c>
      <c r="J14" s="31">
        <v>66.7276</v>
      </c>
      <c r="K14" s="31">
        <v>67.3779</v>
      </c>
      <c r="L14" s="31">
        <v>67.2611</v>
      </c>
      <c r="M14" s="31">
        <v>66.3126</v>
      </c>
      <c r="N14" s="82">
        <f t="shared" si="0"/>
        <v>67.11946666666665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ht="14.25">
      <c r="A15" s="33">
        <v>2010</v>
      </c>
      <c r="B15" s="31">
        <v>67.4662</v>
      </c>
      <c r="C15" s="31">
        <v>67.2424</v>
      </c>
      <c r="D15" s="31">
        <v>67.4399</v>
      </c>
      <c r="E15" s="31">
        <v>68.8547</v>
      </c>
      <c r="F15" s="31">
        <v>67.9066</v>
      </c>
      <c r="G15" s="31">
        <v>67.7006</v>
      </c>
      <c r="H15" s="31">
        <v>66.5769</v>
      </c>
      <c r="I15" s="31">
        <v>67.7029</v>
      </c>
      <c r="J15" s="31">
        <v>67.4858</v>
      </c>
      <c r="K15" s="31">
        <v>67.8685</v>
      </c>
      <c r="L15" s="31">
        <v>67.2669</v>
      </c>
      <c r="M15" s="31">
        <v>67.3235</v>
      </c>
      <c r="N15" s="82">
        <f t="shared" si="0"/>
        <v>67.569575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14.25">
      <c r="A16" s="32">
        <v>2011</v>
      </c>
      <c r="B16" s="31">
        <v>67.227</v>
      </c>
      <c r="C16" s="31">
        <v>67.4066</v>
      </c>
      <c r="D16" s="31">
        <v>68.3546</v>
      </c>
      <c r="E16" s="31">
        <v>67.3005</v>
      </c>
      <c r="F16" s="31">
        <v>67.4955</v>
      </c>
      <c r="G16" s="31">
        <v>67.9723</v>
      </c>
      <c r="H16" s="31">
        <v>67.8036</v>
      </c>
      <c r="I16" s="31">
        <v>67.5261</v>
      </c>
      <c r="J16" s="31">
        <v>67.5078</v>
      </c>
      <c r="K16" s="31">
        <v>67.5331</v>
      </c>
      <c r="L16" s="31">
        <v>67.4943</v>
      </c>
      <c r="M16" s="31">
        <v>67.6421</v>
      </c>
      <c r="N16" s="82">
        <f t="shared" si="0"/>
        <v>67.60529166666667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ht="14.25">
      <c r="A17" s="33">
        <v>2012</v>
      </c>
      <c r="B17" s="31">
        <v>67.8281</v>
      </c>
      <c r="C17" s="31">
        <v>67.8808</v>
      </c>
      <c r="D17" s="31">
        <v>68.1916</v>
      </c>
      <c r="E17" s="31">
        <v>67.9411</v>
      </c>
      <c r="F17" s="31">
        <v>68.0644</v>
      </c>
      <c r="G17" s="31">
        <v>67.6251</v>
      </c>
      <c r="H17" s="31">
        <v>66.9897</v>
      </c>
      <c r="I17" s="31">
        <v>66.9873</v>
      </c>
      <c r="J17" s="31">
        <v>67.1668</v>
      </c>
      <c r="K17" s="31">
        <v>65.6951</v>
      </c>
      <c r="L17" s="31">
        <v>65.8763</v>
      </c>
      <c r="M17" s="31">
        <v>65.5412</v>
      </c>
      <c r="N17" s="82">
        <f t="shared" si="0"/>
        <v>67.14895833333333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4.25">
      <c r="A18" s="32">
        <v>2013</v>
      </c>
      <c r="B18" s="31">
        <v>65.8287</v>
      </c>
      <c r="C18" s="31">
        <v>67.0716</v>
      </c>
      <c r="D18" s="31">
        <v>67.122</v>
      </c>
      <c r="E18" s="31">
        <v>66.7969</v>
      </c>
      <c r="F18" s="31">
        <v>67.3941</v>
      </c>
      <c r="G18" s="31">
        <v>67.4494</v>
      </c>
      <c r="H18" s="31">
        <v>66.766</v>
      </c>
      <c r="I18" s="31">
        <v>67.937</v>
      </c>
      <c r="J18" s="31">
        <v>68.5372</v>
      </c>
      <c r="K18" s="31">
        <v>68.1548</v>
      </c>
      <c r="L18" s="31">
        <v>67.9608</v>
      </c>
      <c r="M18" s="31">
        <v>68.0448</v>
      </c>
      <c r="N18" s="82">
        <f t="shared" si="0"/>
        <v>67.42194166666665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14.25">
      <c r="A19" s="33">
        <v>2014</v>
      </c>
      <c r="B19" s="31">
        <v>67.9267</v>
      </c>
      <c r="C19" s="31">
        <v>68.1651</v>
      </c>
      <c r="D19" s="31">
        <v>67.8661</v>
      </c>
      <c r="E19" s="31">
        <v>67.7134</v>
      </c>
      <c r="F19" s="31">
        <v>68.2406</v>
      </c>
      <c r="G19" s="31">
        <v>67.9309</v>
      </c>
      <c r="H19" s="31">
        <v>69.787</v>
      </c>
      <c r="I19" s="31">
        <v>68.4619</v>
      </c>
      <c r="J19" s="31">
        <v>68.5623</v>
      </c>
      <c r="K19" s="31">
        <v>68.7712</v>
      </c>
      <c r="L19" s="31">
        <v>68.3999</v>
      </c>
      <c r="M19" s="31">
        <v>67.6678</v>
      </c>
      <c r="N19" s="82">
        <f t="shared" si="0"/>
        <v>68.29107499999999</v>
      </c>
      <c r="O19" s="42"/>
      <c r="P19" s="42"/>
      <c r="Q19" s="73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4.25">
      <c r="A20" s="32">
        <v>2015</v>
      </c>
      <c r="B20" s="31">
        <v>67.9704</v>
      </c>
      <c r="C20" s="31">
        <v>67.699</v>
      </c>
      <c r="D20" s="31">
        <v>67.53</v>
      </c>
      <c r="E20" s="31">
        <v>73.5634</v>
      </c>
      <c r="F20" s="31">
        <v>68.333</v>
      </c>
      <c r="G20" s="31">
        <v>67.1834</v>
      </c>
      <c r="H20" s="31">
        <v>67.7483</v>
      </c>
      <c r="I20" s="31">
        <v>67.3473</v>
      </c>
      <c r="J20" s="31">
        <v>67.1088</v>
      </c>
      <c r="K20" s="31">
        <v>67.2856</v>
      </c>
      <c r="L20" s="31">
        <v>67.3881</v>
      </c>
      <c r="M20" s="31">
        <v>67.6551</v>
      </c>
      <c r="N20" s="82">
        <f t="shared" si="0"/>
        <v>68.0677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4.25">
      <c r="A21" s="33">
        <v>2016</v>
      </c>
      <c r="B21" s="31">
        <v>67.4153</v>
      </c>
      <c r="C21" s="31">
        <v>66.9735</v>
      </c>
      <c r="D21" s="31">
        <v>67.1159</v>
      </c>
      <c r="E21" s="31">
        <v>66.7361</v>
      </c>
      <c r="F21" s="31">
        <v>67.6492</v>
      </c>
      <c r="G21" s="31">
        <v>67.6724</v>
      </c>
      <c r="H21" s="31">
        <v>67.8352</v>
      </c>
      <c r="I21" s="31">
        <v>67.7876</v>
      </c>
      <c r="J21" s="31">
        <v>68.0305</v>
      </c>
      <c r="K21" s="31">
        <v>67.5275</v>
      </c>
      <c r="L21" s="31">
        <v>67.9099</v>
      </c>
      <c r="M21" s="31">
        <v>67.9612</v>
      </c>
      <c r="N21" s="82">
        <f t="shared" si="0"/>
        <v>67.55119166666667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4.25">
      <c r="A22" s="32">
        <v>2017</v>
      </c>
      <c r="B22" s="31">
        <v>67.9067</v>
      </c>
      <c r="C22" s="31">
        <v>67.1847</v>
      </c>
      <c r="D22" s="31">
        <v>66.8438</v>
      </c>
      <c r="E22" s="31">
        <v>68.6463</v>
      </c>
      <c r="F22" s="31">
        <v>67.0185</v>
      </c>
      <c r="G22" s="31">
        <v>67.0947</v>
      </c>
      <c r="H22" s="31">
        <v>67.5</v>
      </c>
      <c r="I22" s="31">
        <v>67.2987</v>
      </c>
      <c r="J22" s="31">
        <v>67.5</v>
      </c>
      <c r="K22" s="31">
        <v>67.6</v>
      </c>
      <c r="L22" s="31">
        <v>67.9782</v>
      </c>
      <c r="M22" s="31">
        <v>71</v>
      </c>
      <c r="N22" s="82">
        <f t="shared" si="0"/>
        <v>67.79763333333334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4.25">
      <c r="A23" s="32">
        <v>2018</v>
      </c>
      <c r="B23" s="31">
        <v>71.1</v>
      </c>
      <c r="C23" s="31">
        <v>71</v>
      </c>
      <c r="D23" s="31">
        <v>70.7712</v>
      </c>
      <c r="E23" s="31">
        <v>71.4</v>
      </c>
      <c r="F23" s="31">
        <v>71</v>
      </c>
      <c r="G23" s="31">
        <v>71.4</v>
      </c>
      <c r="H23" s="31">
        <v>71.4</v>
      </c>
      <c r="I23" s="31">
        <v>71.3</v>
      </c>
      <c r="J23" s="31">
        <v>71.1</v>
      </c>
      <c r="K23" s="31">
        <v>71.1</v>
      </c>
      <c r="L23" s="31">
        <v>71.6</v>
      </c>
      <c r="M23" s="31">
        <v>71.7</v>
      </c>
      <c r="N23" s="82">
        <f t="shared" si="0"/>
        <v>71.23926666666667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4.25">
      <c r="A24" s="32">
        <v>2019</v>
      </c>
      <c r="B24" s="31">
        <v>71.3917</v>
      </c>
      <c r="C24" s="31">
        <v>71.3</v>
      </c>
      <c r="D24" s="31">
        <v>71.1</v>
      </c>
      <c r="E24" s="31">
        <v>70.7</v>
      </c>
      <c r="F24" s="31">
        <v>71</v>
      </c>
      <c r="G24" s="31">
        <v>71.2</v>
      </c>
      <c r="H24" s="31">
        <v>71.6</v>
      </c>
      <c r="I24" s="31">
        <v>69.8</v>
      </c>
      <c r="J24" s="31">
        <v>69.94</v>
      </c>
      <c r="K24" s="31">
        <v>71.2</v>
      </c>
      <c r="L24" s="31">
        <v>70.3</v>
      </c>
      <c r="M24" s="31">
        <v>70.6</v>
      </c>
      <c r="N24" s="82">
        <f t="shared" si="0"/>
        <v>70.84430833333333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4.25">
      <c r="A25" s="34">
        <v>2020</v>
      </c>
      <c r="B25" s="82">
        <v>71.2</v>
      </c>
      <c r="C25" s="82">
        <v>71.6</v>
      </c>
      <c r="D25" s="82">
        <v>71.3</v>
      </c>
      <c r="E25" s="82">
        <v>70.9</v>
      </c>
      <c r="F25" s="82">
        <v>71.5</v>
      </c>
      <c r="G25" s="82">
        <v>69</v>
      </c>
      <c r="H25" s="82">
        <v>67.2</v>
      </c>
      <c r="I25" s="82">
        <v>71.2</v>
      </c>
      <c r="J25" s="82">
        <v>72.1</v>
      </c>
      <c r="K25" s="82">
        <v>72.3</v>
      </c>
      <c r="L25" s="82">
        <v>71.7</v>
      </c>
      <c r="M25" s="82">
        <v>71.7</v>
      </c>
      <c r="N25" s="82">
        <f t="shared" si="0"/>
        <v>70.97500000000001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14" ht="14.25">
      <c r="A26" s="34">
        <v>2021</v>
      </c>
      <c r="B26" s="82">
        <v>71.2</v>
      </c>
      <c r="C26" s="82">
        <v>71.2</v>
      </c>
      <c r="D26" s="82">
        <v>68.9</v>
      </c>
      <c r="E26" s="82">
        <v>70.3</v>
      </c>
      <c r="F26" s="82">
        <v>70.7</v>
      </c>
      <c r="G26" s="82">
        <v>72.3</v>
      </c>
      <c r="H26" s="82">
        <v>71.2</v>
      </c>
      <c r="I26" s="82">
        <v>70.4</v>
      </c>
      <c r="J26" s="82">
        <v>70.9</v>
      </c>
      <c r="K26" s="82">
        <v>70.3</v>
      </c>
      <c r="L26" s="82">
        <v>70.8</v>
      </c>
      <c r="M26" s="82">
        <v>71.2</v>
      </c>
      <c r="N26" s="82">
        <f>AVERAGE(B26:M26)</f>
        <v>70.78333333333333</v>
      </c>
    </row>
    <row r="27" spans="1:14" ht="14.25">
      <c r="A27" s="33">
        <v>2022</v>
      </c>
      <c r="B27" s="31">
        <v>70.6</v>
      </c>
      <c r="C27" s="31">
        <v>69.4</v>
      </c>
      <c r="D27" s="31">
        <v>69.5</v>
      </c>
      <c r="E27" s="31">
        <v>70.3</v>
      </c>
      <c r="F27" s="31">
        <v>71</v>
      </c>
      <c r="G27" s="31">
        <v>70.1</v>
      </c>
      <c r="H27" s="31">
        <v>69.6</v>
      </c>
      <c r="I27" s="31">
        <v>70.7</v>
      </c>
      <c r="J27" s="31">
        <v>70.5</v>
      </c>
      <c r="K27" s="31">
        <v>70.5</v>
      </c>
      <c r="L27" s="31">
        <v>71</v>
      </c>
      <c r="M27" s="31">
        <v>70.5</v>
      </c>
      <c r="N27" s="82">
        <f>AVERAGE(B27:M27)</f>
        <v>70.30833333333334</v>
      </c>
    </row>
    <row r="28" spans="1:14" ht="14.25">
      <c r="A28" s="38">
        <v>2023</v>
      </c>
      <c r="B28" s="40">
        <v>69.7</v>
      </c>
      <c r="C28" s="38">
        <v>70.2</v>
      </c>
      <c r="D28" s="40">
        <v>70.7</v>
      </c>
      <c r="E28" s="40">
        <v>70.8</v>
      </c>
      <c r="F28" s="40">
        <v>72.1</v>
      </c>
      <c r="G28" s="40">
        <v>70.7</v>
      </c>
      <c r="H28" s="40">
        <v>70.1</v>
      </c>
      <c r="I28" s="40">
        <v>69.9</v>
      </c>
      <c r="J28" s="40">
        <v>70</v>
      </c>
      <c r="K28" s="40">
        <v>70.5</v>
      </c>
      <c r="L28" s="40">
        <v>71.3</v>
      </c>
      <c r="M28" s="40">
        <v>71.1</v>
      </c>
      <c r="N28" s="40">
        <f>AVERAGE(B28:M28)</f>
        <v>70.59166666666665</v>
      </c>
    </row>
    <row r="29" spans="2:14" ht="14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4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3:6" ht="14.25">
      <c r="C31" s="28" t="s">
        <v>127</v>
      </c>
      <c r="D31" s="30"/>
      <c r="E31" s="30"/>
      <c r="F31" s="30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AH30"/>
  <sheetViews>
    <sheetView zoomScale="90" zoomScaleNormal="90" zoomScalePageLayoutView="0" workbookViewId="0" topLeftCell="A1">
      <selection activeCell="L29" sqref="L29"/>
    </sheetView>
  </sheetViews>
  <sheetFormatPr defaultColWidth="9.140625" defaultRowHeight="12.75"/>
  <cols>
    <col min="1" max="1" width="6.7109375" style="28" customWidth="1"/>
    <col min="2" max="16384" width="9.140625" style="28" customWidth="1"/>
  </cols>
  <sheetData>
    <row r="1" ht="15.75">
      <c r="A1" s="36" t="s">
        <v>150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7"/>
      <c r="B4" s="101" t="s">
        <v>26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34" ht="14.25">
      <c r="A5" s="33">
        <v>2000</v>
      </c>
      <c r="B5" s="39">
        <v>3178</v>
      </c>
      <c r="C5" s="39">
        <v>3167</v>
      </c>
      <c r="D5" s="39">
        <v>3174</v>
      </c>
      <c r="E5" s="39">
        <v>3152</v>
      </c>
      <c r="F5" s="39">
        <v>3131</v>
      </c>
      <c r="G5" s="39">
        <v>3087</v>
      </c>
      <c r="H5" s="39">
        <v>3069</v>
      </c>
      <c r="I5" s="39">
        <v>3065</v>
      </c>
      <c r="J5" s="39">
        <v>3062</v>
      </c>
      <c r="K5" s="39">
        <v>3068</v>
      </c>
      <c r="L5" s="39">
        <v>3032</v>
      </c>
      <c r="M5" s="39">
        <v>3059</v>
      </c>
      <c r="N5" s="39">
        <f>AVERAGE(B5:M5)</f>
        <v>3103.6666666666665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25">
      <c r="A6" s="32">
        <v>2001</v>
      </c>
      <c r="B6" s="39">
        <v>3077</v>
      </c>
      <c r="C6" s="39">
        <v>3064</v>
      </c>
      <c r="D6" s="39">
        <v>3082</v>
      </c>
      <c r="E6" s="39">
        <v>3084</v>
      </c>
      <c r="F6" s="39">
        <v>3090</v>
      </c>
      <c r="G6" s="39">
        <v>3084</v>
      </c>
      <c r="H6" s="39">
        <v>3091</v>
      </c>
      <c r="I6" s="39">
        <v>3075</v>
      </c>
      <c r="J6" s="39">
        <v>3075</v>
      </c>
      <c r="K6" s="39">
        <v>3086</v>
      </c>
      <c r="L6" s="39">
        <v>3098</v>
      </c>
      <c r="M6" s="39">
        <v>3110</v>
      </c>
      <c r="N6" s="39">
        <f aca="true" t="shared" si="0" ref="N6:N28">AVERAGE(B6:M6)</f>
        <v>3084.6666666666665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14.25">
      <c r="A7" s="33">
        <v>2002</v>
      </c>
      <c r="B7" s="39">
        <v>3105</v>
      </c>
      <c r="C7" s="39">
        <v>3100</v>
      </c>
      <c r="D7" s="39">
        <v>3100</v>
      </c>
      <c r="E7" s="39">
        <v>3106</v>
      </c>
      <c r="F7" s="39">
        <v>3119</v>
      </c>
      <c r="G7" s="39">
        <v>3111</v>
      </c>
      <c r="H7" s="39">
        <v>3021</v>
      </c>
      <c r="I7" s="39">
        <v>3019</v>
      </c>
      <c r="J7" s="39">
        <v>3029</v>
      </c>
      <c r="K7" s="39">
        <v>3008</v>
      </c>
      <c r="L7" s="39">
        <v>3005</v>
      </c>
      <c r="M7" s="39">
        <v>3062</v>
      </c>
      <c r="N7" s="39">
        <f t="shared" si="0"/>
        <v>3065.4166666666665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14.25">
      <c r="A8" s="32">
        <v>2003</v>
      </c>
      <c r="B8" s="39">
        <v>3089</v>
      </c>
      <c r="C8" s="39">
        <v>3075</v>
      </c>
      <c r="D8" s="39">
        <v>3078</v>
      </c>
      <c r="E8" s="39">
        <v>3056</v>
      </c>
      <c r="F8" s="39">
        <v>3032</v>
      </c>
      <c r="G8" s="39">
        <v>3009</v>
      </c>
      <c r="H8" s="39">
        <v>2967</v>
      </c>
      <c r="I8" s="39">
        <v>3006</v>
      </c>
      <c r="J8" s="39">
        <v>3030</v>
      </c>
      <c r="K8" s="39">
        <v>2811</v>
      </c>
      <c r="L8" s="39">
        <v>2977</v>
      </c>
      <c r="M8" s="39">
        <v>2936</v>
      </c>
      <c r="N8" s="39">
        <f t="shared" si="0"/>
        <v>3005.5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14.25">
      <c r="A9" s="33">
        <v>2004</v>
      </c>
      <c r="B9" s="39">
        <v>2892</v>
      </c>
      <c r="C9" s="39">
        <v>2855</v>
      </c>
      <c r="D9" s="39">
        <v>2875</v>
      </c>
      <c r="E9" s="39">
        <v>2853</v>
      </c>
      <c r="F9" s="39">
        <v>2792</v>
      </c>
      <c r="G9" s="39">
        <v>3063</v>
      </c>
      <c r="H9" s="39">
        <v>2854</v>
      </c>
      <c r="I9" s="39">
        <v>2854</v>
      </c>
      <c r="J9" s="39">
        <v>2830</v>
      </c>
      <c r="K9" s="39">
        <v>2829</v>
      </c>
      <c r="L9" s="39">
        <v>2822</v>
      </c>
      <c r="M9" s="39">
        <v>2814</v>
      </c>
      <c r="N9" s="39">
        <f t="shared" si="0"/>
        <v>2861.0833333333335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4.25">
      <c r="A10" s="33">
        <v>2005</v>
      </c>
      <c r="B10" s="39">
        <v>2798</v>
      </c>
      <c r="C10" s="39">
        <v>2788</v>
      </c>
      <c r="D10" s="39">
        <v>2792</v>
      </c>
      <c r="E10" s="39">
        <v>2787</v>
      </c>
      <c r="F10" s="39">
        <v>2771</v>
      </c>
      <c r="G10" s="39">
        <v>2774</v>
      </c>
      <c r="H10" s="39">
        <v>2762</v>
      </c>
      <c r="I10" s="39">
        <v>2707</v>
      </c>
      <c r="J10" s="39">
        <v>2747</v>
      </c>
      <c r="K10" s="39">
        <v>2731</v>
      </c>
      <c r="L10" s="39">
        <v>2746</v>
      </c>
      <c r="M10" s="39">
        <v>2722</v>
      </c>
      <c r="N10" s="39">
        <f t="shared" si="0"/>
        <v>2760.4166666666665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14.25">
      <c r="A11" s="33">
        <v>2006</v>
      </c>
      <c r="B11" s="39">
        <v>2725</v>
      </c>
      <c r="C11" s="39">
        <v>2697</v>
      </c>
      <c r="D11" s="39">
        <v>2730</v>
      </c>
      <c r="E11" s="39">
        <v>2730</v>
      </c>
      <c r="F11" s="39">
        <v>2723</v>
      </c>
      <c r="G11" s="39">
        <v>2691</v>
      </c>
      <c r="H11" s="39">
        <v>2674</v>
      </c>
      <c r="I11" s="39">
        <v>2663</v>
      </c>
      <c r="J11" s="39">
        <v>2642</v>
      </c>
      <c r="K11" s="39">
        <v>2644</v>
      </c>
      <c r="L11" s="39">
        <v>2622</v>
      </c>
      <c r="M11" s="39">
        <v>2607</v>
      </c>
      <c r="N11" s="39">
        <f t="shared" si="0"/>
        <v>2679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1:34" ht="14.25">
      <c r="A12" s="32">
        <v>2007</v>
      </c>
      <c r="B12" s="39">
        <v>2593</v>
      </c>
      <c r="C12" s="39">
        <v>2561</v>
      </c>
      <c r="D12" s="39">
        <v>2590</v>
      </c>
      <c r="E12" s="39">
        <v>2587</v>
      </c>
      <c r="F12" s="39">
        <v>2573</v>
      </c>
      <c r="G12" s="39">
        <v>2522</v>
      </c>
      <c r="H12" s="39">
        <v>2541</v>
      </c>
      <c r="I12" s="39">
        <v>2538</v>
      </c>
      <c r="J12" s="39">
        <v>2520</v>
      </c>
      <c r="K12" s="39">
        <v>2517</v>
      </c>
      <c r="L12" s="39">
        <v>2504</v>
      </c>
      <c r="M12" s="39">
        <v>2496</v>
      </c>
      <c r="N12" s="39">
        <f t="shared" si="0"/>
        <v>2545.1666666666665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ht="14.25">
      <c r="A13" s="33">
        <v>2008</v>
      </c>
      <c r="B13" s="39">
        <v>2477</v>
      </c>
      <c r="C13" s="39">
        <v>2459</v>
      </c>
      <c r="D13" s="39">
        <v>2475</v>
      </c>
      <c r="E13" s="39">
        <v>2470</v>
      </c>
      <c r="F13" s="39">
        <v>2422</v>
      </c>
      <c r="G13" s="39">
        <v>2418</v>
      </c>
      <c r="H13" s="39">
        <v>2394</v>
      </c>
      <c r="I13" s="39">
        <v>2394</v>
      </c>
      <c r="J13" s="39">
        <v>2393</v>
      </c>
      <c r="K13" s="39">
        <v>2411</v>
      </c>
      <c r="L13" s="39">
        <v>2400</v>
      </c>
      <c r="M13" s="39">
        <v>2388</v>
      </c>
      <c r="N13" s="39">
        <f t="shared" si="0"/>
        <v>2425.0833333333335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ht="14.25">
      <c r="A14" s="32">
        <v>2009</v>
      </c>
      <c r="B14" s="39">
        <v>2385</v>
      </c>
      <c r="C14" s="39">
        <v>2392</v>
      </c>
      <c r="D14" s="39">
        <v>2383</v>
      </c>
      <c r="E14" s="39">
        <v>2396</v>
      </c>
      <c r="F14" s="39">
        <v>2368</v>
      </c>
      <c r="G14" s="39">
        <v>2370</v>
      </c>
      <c r="H14" s="39">
        <v>2331</v>
      </c>
      <c r="I14" s="39">
        <v>2357</v>
      </c>
      <c r="J14" s="39">
        <v>2365</v>
      </c>
      <c r="K14" s="39">
        <v>2324</v>
      </c>
      <c r="L14" s="39">
        <v>2350</v>
      </c>
      <c r="M14" s="39">
        <v>2410</v>
      </c>
      <c r="N14" s="39">
        <f t="shared" si="0"/>
        <v>2369.25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ht="14.25">
      <c r="A15" s="33">
        <v>2010</v>
      </c>
      <c r="B15" s="39">
        <v>2333</v>
      </c>
      <c r="C15" s="39">
        <v>2295</v>
      </c>
      <c r="D15" s="39">
        <v>2288</v>
      </c>
      <c r="E15" s="39">
        <v>2249</v>
      </c>
      <c r="F15" s="39">
        <v>2295</v>
      </c>
      <c r="G15" s="39">
        <v>2270</v>
      </c>
      <c r="H15" s="39">
        <v>2233</v>
      </c>
      <c r="I15" s="39">
        <v>2213</v>
      </c>
      <c r="J15" s="39">
        <v>2236</v>
      </c>
      <c r="K15" s="39">
        <v>2219</v>
      </c>
      <c r="L15" s="39">
        <v>2236</v>
      </c>
      <c r="M15" s="39">
        <v>2222</v>
      </c>
      <c r="N15" s="39">
        <f t="shared" si="0"/>
        <v>2257.4166666666665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14.25">
      <c r="A16" s="32">
        <v>2011</v>
      </c>
      <c r="B16" s="39">
        <v>2203</v>
      </c>
      <c r="C16" s="39">
        <v>2173</v>
      </c>
      <c r="D16" s="39">
        <v>2206</v>
      </c>
      <c r="E16" s="39">
        <v>2201</v>
      </c>
      <c r="F16" s="39">
        <v>2183</v>
      </c>
      <c r="G16" s="39">
        <v>2175</v>
      </c>
      <c r="H16" s="39">
        <v>2171</v>
      </c>
      <c r="I16" s="39">
        <v>2179</v>
      </c>
      <c r="J16" s="39">
        <v>2176</v>
      </c>
      <c r="K16" s="39">
        <v>2161</v>
      </c>
      <c r="L16" s="39">
        <v>2147</v>
      </c>
      <c r="M16" s="39">
        <v>2123</v>
      </c>
      <c r="N16" s="39">
        <f t="shared" si="0"/>
        <v>2174.8333333333335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ht="14.25">
      <c r="A17" s="33">
        <v>2012</v>
      </c>
      <c r="B17" s="39">
        <v>2096</v>
      </c>
      <c r="C17" s="39">
        <v>2081</v>
      </c>
      <c r="D17" s="39">
        <v>2065</v>
      </c>
      <c r="E17" s="39">
        <v>2113</v>
      </c>
      <c r="F17" s="39">
        <v>2102</v>
      </c>
      <c r="G17" s="39">
        <v>2083</v>
      </c>
      <c r="H17" s="39">
        <v>2078</v>
      </c>
      <c r="I17" s="39">
        <v>2059</v>
      </c>
      <c r="J17" s="39">
        <v>2057</v>
      </c>
      <c r="K17" s="39">
        <v>2142</v>
      </c>
      <c r="L17" s="39">
        <v>2130</v>
      </c>
      <c r="M17" s="39">
        <v>2133</v>
      </c>
      <c r="N17" s="39">
        <f t="shared" si="0"/>
        <v>2094.9166666666665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4.25">
      <c r="A18" s="32">
        <v>2013</v>
      </c>
      <c r="B18" s="39">
        <v>2107</v>
      </c>
      <c r="C18" s="39">
        <v>2006</v>
      </c>
      <c r="D18" s="39">
        <v>2022</v>
      </c>
      <c r="E18" s="39">
        <v>2039</v>
      </c>
      <c r="F18" s="39">
        <v>2002</v>
      </c>
      <c r="G18" s="39">
        <v>1996</v>
      </c>
      <c r="H18" s="39">
        <v>2008</v>
      </c>
      <c r="I18" s="39">
        <v>1994</v>
      </c>
      <c r="J18" s="39">
        <v>1996</v>
      </c>
      <c r="K18" s="39">
        <v>1983</v>
      </c>
      <c r="L18" s="39">
        <v>1964</v>
      </c>
      <c r="M18" s="39">
        <v>1940</v>
      </c>
      <c r="N18" s="39">
        <f t="shared" si="0"/>
        <v>2004.75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14.25">
      <c r="A19" s="33">
        <v>2014</v>
      </c>
      <c r="B19" s="39">
        <v>1926</v>
      </c>
      <c r="C19" s="39">
        <v>1905</v>
      </c>
      <c r="D19" s="39">
        <v>1920</v>
      </c>
      <c r="E19" s="39">
        <v>1933</v>
      </c>
      <c r="F19" s="39">
        <v>1917</v>
      </c>
      <c r="G19" s="39">
        <v>1911</v>
      </c>
      <c r="H19" s="39">
        <v>1901</v>
      </c>
      <c r="I19" s="39">
        <v>1909</v>
      </c>
      <c r="J19" s="39">
        <v>1874</v>
      </c>
      <c r="K19" s="39">
        <v>1840</v>
      </c>
      <c r="L19" s="39">
        <v>1884</v>
      </c>
      <c r="M19" s="39">
        <v>1884</v>
      </c>
      <c r="N19" s="39">
        <f t="shared" si="0"/>
        <v>1900.3333333333333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4.25">
      <c r="A20" s="32">
        <v>2015</v>
      </c>
      <c r="B20" s="39">
        <v>1859</v>
      </c>
      <c r="C20" s="39">
        <v>1846</v>
      </c>
      <c r="D20" s="39">
        <v>1843</v>
      </c>
      <c r="E20" s="39">
        <v>1836</v>
      </c>
      <c r="F20" s="39">
        <v>1837</v>
      </c>
      <c r="G20" s="39">
        <v>1884</v>
      </c>
      <c r="H20" s="39">
        <v>1799</v>
      </c>
      <c r="I20" s="39">
        <v>1807</v>
      </c>
      <c r="J20" s="39">
        <v>1810</v>
      </c>
      <c r="K20" s="39">
        <v>1797</v>
      </c>
      <c r="L20" s="39">
        <v>1793</v>
      </c>
      <c r="M20" s="39">
        <v>1778</v>
      </c>
      <c r="N20" s="39">
        <f t="shared" si="0"/>
        <v>1824.0833333333333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4.25">
      <c r="A21" s="33">
        <v>2016</v>
      </c>
      <c r="B21" s="39">
        <v>1770</v>
      </c>
      <c r="C21" s="39">
        <v>1758</v>
      </c>
      <c r="D21" s="39">
        <v>1757</v>
      </c>
      <c r="E21" s="39">
        <v>1756</v>
      </c>
      <c r="F21" s="39">
        <v>1745</v>
      </c>
      <c r="G21" s="39">
        <v>1725</v>
      </c>
      <c r="H21" s="39">
        <v>1725</v>
      </c>
      <c r="I21" s="39">
        <v>1705</v>
      </c>
      <c r="J21" s="39">
        <v>1719</v>
      </c>
      <c r="K21" s="39">
        <v>1710</v>
      </c>
      <c r="L21" s="39">
        <v>1695</v>
      </c>
      <c r="M21" s="39">
        <v>1650</v>
      </c>
      <c r="N21" s="39">
        <f t="shared" si="0"/>
        <v>1726.25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4.25">
      <c r="A22" s="32">
        <v>2017</v>
      </c>
      <c r="B22" s="39">
        <v>1665</v>
      </c>
      <c r="C22" s="39">
        <v>1668</v>
      </c>
      <c r="D22" s="39">
        <v>1685</v>
      </c>
      <c r="E22" s="39">
        <v>1663</v>
      </c>
      <c r="F22" s="39">
        <v>1656</v>
      </c>
      <c r="G22" s="39">
        <v>1640</v>
      </c>
      <c r="H22" s="39">
        <v>1603</v>
      </c>
      <c r="I22" s="39">
        <v>1604</v>
      </c>
      <c r="J22" s="39">
        <v>1596</v>
      </c>
      <c r="K22" s="39">
        <v>1578</v>
      </c>
      <c r="L22" s="39">
        <v>1544</v>
      </c>
      <c r="M22" s="39">
        <v>1378</v>
      </c>
      <c r="N22" s="39">
        <f t="shared" si="0"/>
        <v>1606.6666666666667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4.25">
      <c r="A23" s="32">
        <v>2018</v>
      </c>
      <c r="B23" s="39">
        <v>1363</v>
      </c>
      <c r="C23" s="39">
        <v>1351</v>
      </c>
      <c r="D23" s="39">
        <v>1354</v>
      </c>
      <c r="E23" s="39">
        <v>1301</v>
      </c>
      <c r="F23" s="39">
        <v>1321</v>
      </c>
      <c r="G23" s="39">
        <v>1296</v>
      </c>
      <c r="H23" s="39">
        <v>1280</v>
      </c>
      <c r="I23" s="39">
        <v>1282</v>
      </c>
      <c r="J23" s="39">
        <v>1281</v>
      </c>
      <c r="K23" s="39">
        <v>1279</v>
      </c>
      <c r="L23" s="39">
        <v>1246</v>
      </c>
      <c r="M23" s="39">
        <v>1255</v>
      </c>
      <c r="N23" s="39">
        <f t="shared" si="0"/>
        <v>1300.75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4.25">
      <c r="A24" s="32">
        <v>2019</v>
      </c>
      <c r="B24" s="39">
        <v>1219</v>
      </c>
      <c r="C24" s="39">
        <v>1263</v>
      </c>
      <c r="D24" s="39">
        <v>1239</v>
      </c>
      <c r="E24" s="39">
        <v>1256</v>
      </c>
      <c r="F24" s="39">
        <v>1224</v>
      </c>
      <c r="G24" s="39">
        <v>1211</v>
      </c>
      <c r="H24" s="39">
        <v>1170</v>
      </c>
      <c r="I24" s="39">
        <v>1230</v>
      </c>
      <c r="J24" s="39">
        <v>1226</v>
      </c>
      <c r="K24" s="39">
        <v>1235</v>
      </c>
      <c r="L24" s="39">
        <v>1204</v>
      </c>
      <c r="M24" s="39">
        <v>1173</v>
      </c>
      <c r="N24" s="39">
        <f t="shared" si="0"/>
        <v>1220.8333333333333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4.25">
      <c r="A25" s="34">
        <v>2020</v>
      </c>
      <c r="B25" s="79">
        <v>1159</v>
      </c>
      <c r="C25" s="79">
        <v>1143</v>
      </c>
      <c r="D25" s="79">
        <v>1165</v>
      </c>
      <c r="E25" s="79">
        <v>1148</v>
      </c>
      <c r="F25" s="79">
        <v>1125</v>
      </c>
      <c r="G25" s="79">
        <v>1117</v>
      </c>
      <c r="H25" s="79">
        <v>1127</v>
      </c>
      <c r="I25" s="79">
        <v>1073</v>
      </c>
      <c r="J25" s="79">
        <v>1083</v>
      </c>
      <c r="K25" s="79">
        <v>1059</v>
      </c>
      <c r="L25" s="79">
        <v>1062</v>
      </c>
      <c r="M25" s="79">
        <v>1060</v>
      </c>
      <c r="N25" s="39">
        <f t="shared" si="0"/>
        <v>1110.0833333333333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14" ht="14.25">
      <c r="A26" s="34">
        <v>2021</v>
      </c>
      <c r="B26" s="79">
        <v>1064</v>
      </c>
      <c r="C26" s="79">
        <v>1055</v>
      </c>
      <c r="D26" s="79">
        <v>1115</v>
      </c>
      <c r="E26" s="79">
        <v>1038</v>
      </c>
      <c r="F26" s="79">
        <v>1042</v>
      </c>
      <c r="G26" s="79">
        <v>1057</v>
      </c>
      <c r="H26" s="79">
        <v>1056</v>
      </c>
      <c r="I26" s="79">
        <v>1070</v>
      </c>
      <c r="J26" s="79">
        <v>1041</v>
      </c>
      <c r="K26" s="79">
        <v>1017</v>
      </c>
      <c r="L26" s="79">
        <v>1023</v>
      </c>
      <c r="M26" s="79">
        <v>1030</v>
      </c>
      <c r="N26" s="39">
        <f t="shared" si="0"/>
        <v>1050.6666666666667</v>
      </c>
    </row>
    <row r="27" spans="1:14" ht="14.25">
      <c r="A27" s="34">
        <v>2022</v>
      </c>
      <c r="B27" s="39">
        <v>1077</v>
      </c>
      <c r="C27" s="39">
        <v>1040</v>
      </c>
      <c r="D27" s="39">
        <v>1018</v>
      </c>
      <c r="E27" s="39">
        <v>1013</v>
      </c>
      <c r="F27" s="39">
        <v>977</v>
      </c>
      <c r="G27" s="39">
        <v>1014</v>
      </c>
      <c r="H27" s="39">
        <v>1014</v>
      </c>
      <c r="I27" s="39">
        <v>1035</v>
      </c>
      <c r="J27" s="79">
        <v>1019</v>
      </c>
      <c r="K27" s="39">
        <v>1009</v>
      </c>
      <c r="L27" s="39">
        <v>990</v>
      </c>
      <c r="M27" s="39">
        <v>1010</v>
      </c>
      <c r="N27" s="39">
        <f t="shared" si="0"/>
        <v>1018</v>
      </c>
    </row>
    <row r="28" spans="1:14" ht="14.25">
      <c r="A28" s="38">
        <v>2023</v>
      </c>
      <c r="B28" s="74">
        <v>1008</v>
      </c>
      <c r="C28" s="74">
        <v>1008</v>
      </c>
      <c r="D28" s="74">
        <v>975</v>
      </c>
      <c r="E28" s="74">
        <v>978</v>
      </c>
      <c r="F28" s="74">
        <v>938</v>
      </c>
      <c r="G28" s="74">
        <v>975</v>
      </c>
      <c r="H28" s="74">
        <v>984</v>
      </c>
      <c r="I28" s="74">
        <v>1032</v>
      </c>
      <c r="J28" s="74">
        <v>1032</v>
      </c>
      <c r="K28" s="74">
        <v>1032</v>
      </c>
      <c r="L28" s="74">
        <v>1007</v>
      </c>
      <c r="M28" s="74">
        <v>1007</v>
      </c>
      <c r="N28" s="74">
        <f t="shared" si="0"/>
        <v>998</v>
      </c>
    </row>
    <row r="29" spans="2:14" ht="14.25">
      <c r="B29" s="30"/>
      <c r="C29" s="28" t="s">
        <v>127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4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AH30"/>
  <sheetViews>
    <sheetView zoomScale="90" zoomScaleNormal="90" zoomScalePageLayoutView="0" workbookViewId="0" topLeftCell="A1">
      <selection activeCell="L28" sqref="L28"/>
    </sheetView>
  </sheetViews>
  <sheetFormatPr defaultColWidth="9.140625" defaultRowHeight="12.75"/>
  <cols>
    <col min="1" max="1" width="6.7109375" style="28" customWidth="1"/>
    <col min="2" max="16384" width="9.140625" style="28" customWidth="1"/>
  </cols>
  <sheetData>
    <row r="1" ht="15.75">
      <c r="A1" s="36" t="s">
        <v>151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7"/>
      <c r="B4" s="101" t="s">
        <v>27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34" ht="14.25">
      <c r="A5" s="33">
        <v>2000</v>
      </c>
      <c r="B5" s="31">
        <v>33.2775</v>
      </c>
      <c r="C5" s="31">
        <v>33.4389</v>
      </c>
      <c r="D5" s="31">
        <v>33.2809</v>
      </c>
      <c r="E5" s="31">
        <v>33.6034</v>
      </c>
      <c r="F5" s="31">
        <v>32.8679</v>
      </c>
      <c r="G5" s="31">
        <v>32.5908</v>
      </c>
      <c r="H5" s="31">
        <v>32.2815</v>
      </c>
      <c r="I5" s="31">
        <v>30.3736</v>
      </c>
      <c r="J5" s="31">
        <v>28.1615</v>
      </c>
      <c r="K5" s="31">
        <v>27.7396</v>
      </c>
      <c r="L5" s="31">
        <v>26.9248</v>
      </c>
      <c r="M5" s="31">
        <v>28.7798</v>
      </c>
      <c r="N5" s="31">
        <f>AVERAGE(B5:M5)</f>
        <v>31.110016666666667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25">
      <c r="A6" s="32">
        <v>2001</v>
      </c>
      <c r="B6" s="31">
        <v>27.3949</v>
      </c>
      <c r="C6" s="31">
        <v>28.4705</v>
      </c>
      <c r="D6" s="31">
        <v>28.9172</v>
      </c>
      <c r="E6" s="31">
        <v>28.1438</v>
      </c>
      <c r="F6" s="31">
        <v>26.6471</v>
      </c>
      <c r="G6" s="31">
        <v>25.8465</v>
      </c>
      <c r="H6" s="31">
        <v>25.4403</v>
      </c>
      <c r="I6" s="31">
        <v>25.7689</v>
      </c>
      <c r="J6" s="31">
        <v>27.5562</v>
      </c>
      <c r="K6" s="31">
        <v>27.6177</v>
      </c>
      <c r="L6" s="31">
        <v>26.862</v>
      </c>
      <c r="M6" s="31">
        <v>26.6792</v>
      </c>
      <c r="N6" s="31">
        <f aca="true" t="shared" si="0" ref="N6:N28">AVERAGE(B6:M6)</f>
        <v>27.112025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14.25">
      <c r="A7" s="33">
        <v>2002</v>
      </c>
      <c r="B7" s="31">
        <v>27.865</v>
      </c>
      <c r="C7" s="31">
        <v>27.5458</v>
      </c>
      <c r="D7" s="31">
        <v>26.2846</v>
      </c>
      <c r="E7" s="31">
        <v>27.0017</v>
      </c>
      <c r="F7" s="31">
        <v>26.5741</v>
      </c>
      <c r="G7" s="31">
        <v>26.9935</v>
      </c>
      <c r="H7" s="31">
        <v>26.6191</v>
      </c>
      <c r="I7" s="31">
        <v>27.977</v>
      </c>
      <c r="J7" s="31">
        <v>27.6318</v>
      </c>
      <c r="K7" s="31">
        <v>27.4578</v>
      </c>
      <c r="L7" s="31">
        <v>27.5511</v>
      </c>
      <c r="M7" s="31">
        <v>28.6758</v>
      </c>
      <c r="N7" s="31">
        <f t="shared" si="0"/>
        <v>27.348108333333332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14.25">
      <c r="A8" s="32">
        <v>2003</v>
      </c>
      <c r="B8" s="31">
        <v>29.2879</v>
      </c>
      <c r="C8" s="31">
        <v>29.2718</v>
      </c>
      <c r="D8" s="31">
        <v>29.3983</v>
      </c>
      <c r="E8" s="31">
        <v>29.5066</v>
      </c>
      <c r="F8" s="31">
        <v>29.4026</v>
      </c>
      <c r="G8" s="31">
        <v>29.3475</v>
      </c>
      <c r="H8" s="31">
        <v>36.684</v>
      </c>
      <c r="I8" s="31">
        <v>28.0306</v>
      </c>
      <c r="J8" s="31">
        <v>28.5822</v>
      </c>
      <c r="K8" s="31">
        <v>26.9176</v>
      </c>
      <c r="L8" s="31">
        <v>28.2367</v>
      </c>
      <c r="M8" s="31">
        <v>28.3206</v>
      </c>
      <c r="N8" s="31">
        <f t="shared" si="0"/>
        <v>29.41553333333333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14.25">
      <c r="A9" s="33">
        <v>2004</v>
      </c>
      <c r="B9" s="31">
        <v>28.6365</v>
      </c>
      <c r="C9" s="31">
        <v>28.7166</v>
      </c>
      <c r="D9" s="31">
        <v>28.8452</v>
      </c>
      <c r="E9" s="31">
        <v>29.9213</v>
      </c>
      <c r="F9" s="31">
        <v>31.2165</v>
      </c>
      <c r="G9" s="31">
        <v>29.4774</v>
      </c>
      <c r="H9" s="31">
        <v>29.4015</v>
      </c>
      <c r="I9" s="31">
        <v>27.7572</v>
      </c>
      <c r="J9" s="31">
        <v>27.68</v>
      </c>
      <c r="K9" s="31">
        <v>27.7816</v>
      </c>
      <c r="L9" s="31">
        <v>27.6044</v>
      </c>
      <c r="M9" s="31">
        <v>28.7583</v>
      </c>
      <c r="N9" s="31">
        <f t="shared" si="0"/>
        <v>28.816375000000004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4.25">
      <c r="A10" s="32">
        <v>2005</v>
      </c>
      <c r="B10" s="31">
        <v>28.8246</v>
      </c>
      <c r="C10" s="31">
        <v>28.4722</v>
      </c>
      <c r="D10" s="31">
        <v>28.7272</v>
      </c>
      <c r="E10" s="31">
        <v>28.303</v>
      </c>
      <c r="F10" s="31">
        <v>28.4001</v>
      </c>
      <c r="G10" s="31">
        <v>28.5567</v>
      </c>
      <c r="H10" s="31">
        <v>28.9275</v>
      </c>
      <c r="I10" s="31">
        <v>29.9149</v>
      </c>
      <c r="J10" s="31">
        <v>30.4175</v>
      </c>
      <c r="K10" s="31">
        <v>30.5549</v>
      </c>
      <c r="L10" s="31">
        <v>30.8782</v>
      </c>
      <c r="M10" s="31">
        <v>30.7814</v>
      </c>
      <c r="N10" s="31">
        <f t="shared" si="0"/>
        <v>29.396516666666667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14.25">
      <c r="A11" s="32">
        <v>2006</v>
      </c>
      <c r="B11" s="31">
        <v>31.118</v>
      </c>
      <c r="C11" s="31">
        <v>31.2406</v>
      </c>
      <c r="D11" s="31">
        <v>31.3325</v>
      </c>
      <c r="E11" s="31">
        <v>31.3433</v>
      </c>
      <c r="F11" s="31">
        <v>31.5564</v>
      </c>
      <c r="G11" s="31">
        <v>31.2471</v>
      </c>
      <c r="H11" s="31">
        <v>31.5628</v>
      </c>
      <c r="I11" s="31">
        <v>33.089</v>
      </c>
      <c r="J11" s="31">
        <v>32.7588</v>
      </c>
      <c r="K11" s="31">
        <v>33.0665</v>
      </c>
      <c r="L11" s="31">
        <v>32.8407</v>
      </c>
      <c r="M11" s="31">
        <v>32.8669</v>
      </c>
      <c r="N11" s="31">
        <f t="shared" si="0"/>
        <v>32.00188333333333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1:34" ht="14.25">
      <c r="A12" s="32">
        <v>2007</v>
      </c>
      <c r="B12" s="31">
        <v>32.9772</v>
      </c>
      <c r="C12" s="31">
        <v>32.8839</v>
      </c>
      <c r="D12" s="31">
        <v>32.9978</v>
      </c>
      <c r="E12" s="31">
        <v>33.2135</v>
      </c>
      <c r="F12" s="31">
        <v>33.4069</v>
      </c>
      <c r="G12" s="31">
        <v>32.9157</v>
      </c>
      <c r="H12" s="31">
        <v>33.4166</v>
      </c>
      <c r="I12" s="31">
        <v>31.7012</v>
      </c>
      <c r="J12" s="31">
        <v>31.4567</v>
      </c>
      <c r="K12" s="31">
        <v>31.5453</v>
      </c>
      <c r="L12" s="31">
        <v>31.347</v>
      </c>
      <c r="M12" s="31">
        <v>31.4635</v>
      </c>
      <c r="N12" s="31">
        <f t="shared" si="0"/>
        <v>32.443774999999995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ht="14.25">
      <c r="A13" s="33">
        <v>2008</v>
      </c>
      <c r="B13" s="31">
        <v>31.2832</v>
      </c>
      <c r="C13" s="31">
        <v>31.84</v>
      </c>
      <c r="D13" s="31">
        <v>32.1637</v>
      </c>
      <c r="E13" s="31">
        <v>32.1071</v>
      </c>
      <c r="F13" s="31">
        <v>32.3667</v>
      </c>
      <c r="G13" s="31">
        <v>32.7509</v>
      </c>
      <c r="H13" s="31">
        <v>32.6692</v>
      </c>
      <c r="I13" s="31">
        <v>32.4566</v>
      </c>
      <c r="J13" s="31">
        <v>33.2777</v>
      </c>
      <c r="K13" s="31">
        <v>32.9057</v>
      </c>
      <c r="L13" s="31">
        <v>33.0078</v>
      </c>
      <c r="M13" s="31">
        <v>32.6007</v>
      </c>
      <c r="N13" s="31">
        <f t="shared" si="0"/>
        <v>32.45244166666667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ht="14.25">
      <c r="A14" s="32">
        <v>2009</v>
      </c>
      <c r="B14" s="31">
        <v>32.1342</v>
      </c>
      <c r="C14" s="31">
        <v>32.8933</v>
      </c>
      <c r="D14" s="31">
        <v>32.878</v>
      </c>
      <c r="E14" s="31">
        <v>33.1351</v>
      </c>
      <c r="F14" s="31">
        <v>32.7524</v>
      </c>
      <c r="G14" s="31">
        <v>32.871</v>
      </c>
      <c r="H14" s="31">
        <v>32.5195</v>
      </c>
      <c r="I14" s="31">
        <v>33.0621</v>
      </c>
      <c r="J14" s="31">
        <v>33.2724</v>
      </c>
      <c r="K14" s="31">
        <v>32.6221</v>
      </c>
      <c r="L14" s="31">
        <v>32.7389</v>
      </c>
      <c r="M14" s="31">
        <v>33.6874</v>
      </c>
      <c r="N14" s="31">
        <f t="shared" si="0"/>
        <v>32.88053333333334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ht="14.25">
      <c r="A15" s="33">
        <v>2010</v>
      </c>
      <c r="B15" s="31">
        <v>32.5338</v>
      </c>
      <c r="C15" s="31">
        <v>32.7576</v>
      </c>
      <c r="D15" s="31">
        <v>32.5601</v>
      </c>
      <c r="E15" s="31">
        <v>31.1453</v>
      </c>
      <c r="F15" s="31">
        <v>32.0934</v>
      </c>
      <c r="G15" s="31">
        <v>32.2994</v>
      </c>
      <c r="H15" s="31">
        <v>33.4231</v>
      </c>
      <c r="I15" s="31">
        <v>32.2971</v>
      </c>
      <c r="J15" s="31">
        <v>32.5142</v>
      </c>
      <c r="K15" s="31">
        <v>32.1315</v>
      </c>
      <c r="L15" s="31">
        <v>32.7331</v>
      </c>
      <c r="M15" s="31">
        <v>32.6765</v>
      </c>
      <c r="N15" s="31">
        <f t="shared" si="0"/>
        <v>32.43042499999999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14.25">
      <c r="A16" s="32">
        <v>2011</v>
      </c>
      <c r="B16" s="31">
        <v>32.773</v>
      </c>
      <c r="C16" s="31">
        <v>32.5934</v>
      </c>
      <c r="D16" s="31">
        <v>31.6454</v>
      </c>
      <c r="E16" s="31">
        <v>32.6995</v>
      </c>
      <c r="F16" s="31">
        <v>32.5045</v>
      </c>
      <c r="G16" s="31">
        <v>32.0277</v>
      </c>
      <c r="H16" s="31">
        <v>32.1964</v>
      </c>
      <c r="I16" s="31">
        <v>32.4739</v>
      </c>
      <c r="J16" s="31">
        <v>32.4922</v>
      </c>
      <c r="K16" s="31">
        <v>32.4669</v>
      </c>
      <c r="L16" s="31">
        <v>32.5057</v>
      </c>
      <c r="M16" s="31">
        <v>32.3579</v>
      </c>
      <c r="N16" s="31">
        <f t="shared" si="0"/>
        <v>32.39470833333334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ht="14.25">
      <c r="A17" s="33">
        <v>2012</v>
      </c>
      <c r="B17" s="31">
        <v>32.1719</v>
      </c>
      <c r="C17" s="31">
        <v>32.1192</v>
      </c>
      <c r="D17" s="31">
        <v>31.8084</v>
      </c>
      <c r="E17" s="31">
        <v>32.0589</v>
      </c>
      <c r="F17" s="31">
        <v>31.9356</v>
      </c>
      <c r="G17" s="31">
        <v>32.3749</v>
      </c>
      <c r="H17" s="31">
        <v>33.0103</v>
      </c>
      <c r="I17" s="31">
        <v>33.0127</v>
      </c>
      <c r="J17" s="31">
        <v>32.8332</v>
      </c>
      <c r="K17" s="31">
        <v>34.3049</v>
      </c>
      <c r="L17" s="31">
        <v>34.1237</v>
      </c>
      <c r="M17" s="31">
        <v>34.4588</v>
      </c>
      <c r="N17" s="31">
        <f t="shared" si="0"/>
        <v>32.85104166666667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4.25">
      <c r="A18" s="32">
        <v>2013</v>
      </c>
      <c r="B18" s="31">
        <v>34.1713</v>
      </c>
      <c r="C18" s="31">
        <v>32.9284</v>
      </c>
      <c r="D18" s="31">
        <v>32.878</v>
      </c>
      <c r="E18" s="31">
        <v>33.2031</v>
      </c>
      <c r="F18" s="31">
        <v>32.6059</v>
      </c>
      <c r="G18" s="31">
        <v>32.5506</v>
      </c>
      <c r="H18" s="31">
        <v>33.234</v>
      </c>
      <c r="I18" s="31">
        <v>32.063</v>
      </c>
      <c r="J18" s="31">
        <v>31.4628</v>
      </c>
      <c r="K18" s="31">
        <v>31.8452</v>
      </c>
      <c r="L18" s="31">
        <v>32.0392</v>
      </c>
      <c r="M18" s="31">
        <v>31.9552</v>
      </c>
      <c r="N18" s="31">
        <f t="shared" si="0"/>
        <v>32.57805833333333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14.25">
      <c r="A19" s="33">
        <v>2014</v>
      </c>
      <c r="B19" s="31">
        <v>32.0733</v>
      </c>
      <c r="C19" s="31">
        <v>31.8349</v>
      </c>
      <c r="D19" s="31">
        <v>32.1339</v>
      </c>
      <c r="E19" s="31">
        <v>32.2866</v>
      </c>
      <c r="F19" s="31">
        <v>31.7594</v>
      </c>
      <c r="G19" s="31">
        <v>32.0691</v>
      </c>
      <c r="H19" s="31">
        <v>30.213</v>
      </c>
      <c r="I19" s="31">
        <v>31.5381</v>
      </c>
      <c r="J19" s="31">
        <v>31.4377</v>
      </c>
      <c r="K19" s="31">
        <v>31.2288</v>
      </c>
      <c r="L19" s="31">
        <v>31.6001</v>
      </c>
      <c r="M19" s="31">
        <v>32.3322</v>
      </c>
      <c r="N19" s="31">
        <f t="shared" si="0"/>
        <v>31.708924999999997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4.25">
      <c r="A20" s="32">
        <v>2015</v>
      </c>
      <c r="B20" s="31">
        <v>32.0296</v>
      </c>
      <c r="C20" s="31">
        <v>32.301</v>
      </c>
      <c r="D20" s="31">
        <v>32.47</v>
      </c>
      <c r="E20" s="31">
        <v>31.6825</v>
      </c>
      <c r="F20" s="31">
        <v>31.667</v>
      </c>
      <c r="G20" s="31">
        <v>32.8166</v>
      </c>
      <c r="H20" s="31">
        <v>32.2517</v>
      </c>
      <c r="I20" s="31">
        <v>32.6527</v>
      </c>
      <c r="J20" s="31">
        <v>32.8912</v>
      </c>
      <c r="K20" s="31">
        <v>32.7144</v>
      </c>
      <c r="L20" s="31">
        <v>32.6119</v>
      </c>
      <c r="M20" s="31">
        <v>32.3449</v>
      </c>
      <c r="N20" s="31">
        <f t="shared" si="0"/>
        <v>32.369458333333334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4.25">
      <c r="A21" s="33">
        <v>2016</v>
      </c>
      <c r="B21" s="31">
        <v>32.5847</v>
      </c>
      <c r="C21" s="31">
        <v>33.0265</v>
      </c>
      <c r="D21" s="31">
        <v>32.8841</v>
      </c>
      <c r="E21" s="31">
        <v>33.2639</v>
      </c>
      <c r="F21" s="31">
        <v>32.3508</v>
      </c>
      <c r="G21" s="31">
        <v>32.3276</v>
      </c>
      <c r="H21" s="31">
        <v>32.1648</v>
      </c>
      <c r="I21" s="31">
        <v>32.2124</v>
      </c>
      <c r="J21" s="31">
        <v>31.9695</v>
      </c>
      <c r="K21" s="31">
        <v>32.4725</v>
      </c>
      <c r="L21" s="31">
        <v>32.0901</v>
      </c>
      <c r="M21" s="31">
        <v>32.0388</v>
      </c>
      <c r="N21" s="31">
        <f t="shared" si="0"/>
        <v>32.44880833333333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4.25">
      <c r="A22" s="32">
        <v>2017</v>
      </c>
      <c r="B22" s="31">
        <v>32.0933</v>
      </c>
      <c r="C22" s="31">
        <v>32.8153</v>
      </c>
      <c r="D22" s="31">
        <v>33.1562</v>
      </c>
      <c r="E22" s="31">
        <v>31.3537</v>
      </c>
      <c r="F22" s="31">
        <v>32.9815</v>
      </c>
      <c r="G22" s="31">
        <v>32.9053</v>
      </c>
      <c r="H22" s="31">
        <v>32.5</v>
      </c>
      <c r="I22" s="31">
        <v>32.7013</v>
      </c>
      <c r="J22" s="31">
        <v>32.5</v>
      </c>
      <c r="K22" s="31">
        <v>32.4</v>
      </c>
      <c r="L22" s="31">
        <v>32.0218</v>
      </c>
      <c r="M22" s="31">
        <v>29</v>
      </c>
      <c r="N22" s="31">
        <f t="shared" si="0"/>
        <v>32.20236666666666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4.25">
      <c r="A23" s="32">
        <v>2018</v>
      </c>
      <c r="B23" s="31">
        <v>28.8218</v>
      </c>
      <c r="C23" s="31">
        <v>29</v>
      </c>
      <c r="D23" s="31">
        <v>29.2288</v>
      </c>
      <c r="E23" s="31">
        <v>28.6</v>
      </c>
      <c r="F23" s="31">
        <v>29</v>
      </c>
      <c r="G23" s="31">
        <v>28.6</v>
      </c>
      <c r="H23" s="31">
        <v>28.6</v>
      </c>
      <c r="I23" s="31">
        <v>28.8</v>
      </c>
      <c r="J23" s="31">
        <v>28.9</v>
      </c>
      <c r="K23" s="31">
        <v>28.9</v>
      </c>
      <c r="L23" s="31">
        <v>28.4</v>
      </c>
      <c r="M23" s="31">
        <v>28.3</v>
      </c>
      <c r="N23" s="31">
        <f t="shared" si="0"/>
        <v>28.762549999999994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4.25">
      <c r="A24" s="32">
        <v>2019</v>
      </c>
      <c r="B24" s="31">
        <v>28.6083</v>
      </c>
      <c r="C24" s="31">
        <v>28.7</v>
      </c>
      <c r="D24" s="31">
        <v>28.9</v>
      </c>
      <c r="E24" s="31">
        <v>29.3</v>
      </c>
      <c r="F24" s="31">
        <v>29</v>
      </c>
      <c r="G24" s="31">
        <v>28.8</v>
      </c>
      <c r="H24" s="31">
        <v>28.4</v>
      </c>
      <c r="I24" s="31">
        <v>30.2</v>
      </c>
      <c r="J24" s="31">
        <v>30.06</v>
      </c>
      <c r="K24" s="31">
        <v>29.8</v>
      </c>
      <c r="L24" s="31">
        <v>29.7</v>
      </c>
      <c r="M24" s="31">
        <v>29.4</v>
      </c>
      <c r="N24" s="31">
        <f t="shared" si="0"/>
        <v>29.239024999999998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4.25">
      <c r="A25" s="34">
        <v>2020</v>
      </c>
      <c r="B25" s="82">
        <v>28.8</v>
      </c>
      <c r="C25" s="82">
        <v>28.4</v>
      </c>
      <c r="D25" s="82">
        <v>28.7</v>
      </c>
      <c r="E25" s="82">
        <v>29.1</v>
      </c>
      <c r="F25" s="82">
        <v>28.5</v>
      </c>
      <c r="G25" s="82">
        <v>31</v>
      </c>
      <c r="H25" s="82">
        <v>32.8</v>
      </c>
      <c r="I25" s="82">
        <v>28.8</v>
      </c>
      <c r="J25" s="82">
        <v>27.9</v>
      </c>
      <c r="K25" s="82">
        <v>27.7</v>
      </c>
      <c r="L25" s="82">
        <v>28.3</v>
      </c>
      <c r="M25" s="82">
        <v>28.3</v>
      </c>
      <c r="N25" s="31">
        <f t="shared" si="0"/>
        <v>29.025000000000002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14" ht="14.25">
      <c r="A26" s="34">
        <v>2021</v>
      </c>
      <c r="B26" s="82">
        <v>28.8</v>
      </c>
      <c r="C26" s="82">
        <v>28.8</v>
      </c>
      <c r="D26" s="82">
        <v>31.1</v>
      </c>
      <c r="E26" s="82">
        <v>29.7</v>
      </c>
      <c r="F26" s="82">
        <v>29.3</v>
      </c>
      <c r="G26" s="82">
        <v>27.7</v>
      </c>
      <c r="H26" s="82">
        <v>28.8</v>
      </c>
      <c r="I26" s="82">
        <v>29.6</v>
      </c>
      <c r="J26" s="82">
        <v>29.1</v>
      </c>
      <c r="K26" s="82">
        <v>29.7</v>
      </c>
      <c r="L26" s="82">
        <v>29.2</v>
      </c>
      <c r="M26" s="82">
        <v>28.8</v>
      </c>
      <c r="N26" s="31">
        <f t="shared" si="0"/>
        <v>29.21666666666667</v>
      </c>
    </row>
    <row r="27" spans="1:14" ht="14.25">
      <c r="A27" s="33">
        <v>2022</v>
      </c>
      <c r="B27" s="31">
        <v>29.4</v>
      </c>
      <c r="C27" s="31">
        <v>30.6</v>
      </c>
      <c r="D27" s="31">
        <v>30.5</v>
      </c>
      <c r="E27" s="31">
        <v>29.7</v>
      </c>
      <c r="F27" s="31">
        <v>29</v>
      </c>
      <c r="G27" s="31">
        <v>29.9</v>
      </c>
      <c r="H27" s="31">
        <v>30.4</v>
      </c>
      <c r="I27" s="31">
        <v>29.3</v>
      </c>
      <c r="J27" s="31">
        <v>29.5</v>
      </c>
      <c r="K27" s="31">
        <v>29.5</v>
      </c>
      <c r="L27" s="31">
        <v>29</v>
      </c>
      <c r="M27" s="31">
        <v>29.5</v>
      </c>
      <c r="N27" s="31">
        <f t="shared" si="0"/>
        <v>29.691666666666666</v>
      </c>
    </row>
    <row r="28" spans="1:14" ht="14.25">
      <c r="A28" s="38">
        <v>2023</v>
      </c>
      <c r="B28" s="40">
        <v>30.3</v>
      </c>
      <c r="C28" s="40">
        <v>29.8</v>
      </c>
      <c r="D28" s="40">
        <v>29.3</v>
      </c>
      <c r="E28" s="40">
        <v>29.2</v>
      </c>
      <c r="F28" s="40">
        <v>27.9</v>
      </c>
      <c r="G28" s="40">
        <v>29.3</v>
      </c>
      <c r="H28" s="40">
        <v>29.9</v>
      </c>
      <c r="I28" s="40">
        <v>30.1</v>
      </c>
      <c r="J28" s="40">
        <v>30</v>
      </c>
      <c r="K28" s="40">
        <v>29.5</v>
      </c>
      <c r="L28" s="40">
        <v>28.7</v>
      </c>
      <c r="M28" s="40">
        <v>28.9</v>
      </c>
      <c r="N28" s="40">
        <f t="shared" si="0"/>
        <v>29.40833333333333</v>
      </c>
    </row>
    <row r="29" spans="2:14" ht="14.25">
      <c r="B29" s="30"/>
      <c r="C29" s="28" t="s">
        <v>127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4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B4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1.7109375" style="51" bestFit="1" customWidth="1"/>
    <col min="2" max="2" width="53.28125" style="49" bestFit="1" customWidth="1"/>
    <col min="3" max="16384" width="9.140625" style="49" customWidth="1"/>
  </cols>
  <sheetData>
    <row r="1" spans="1:2" ht="15">
      <c r="A1" s="48" t="s">
        <v>32</v>
      </c>
      <c r="B1" s="48" t="s">
        <v>33</v>
      </c>
    </row>
    <row r="2" spans="1:2" ht="12.75">
      <c r="A2" s="50" t="s">
        <v>34</v>
      </c>
      <c r="B2" s="53" t="s">
        <v>35</v>
      </c>
    </row>
    <row r="3" spans="1:2" ht="12.75">
      <c r="A3" s="50" t="s">
        <v>36</v>
      </c>
      <c r="B3" s="54" t="s">
        <v>37</v>
      </c>
    </row>
    <row r="4" spans="1:2" ht="12.75">
      <c r="A4" s="50" t="s">
        <v>38</v>
      </c>
      <c r="B4" s="54" t="s">
        <v>39</v>
      </c>
    </row>
    <row r="5" spans="1:2" ht="12.75">
      <c r="A5" s="50" t="s">
        <v>40</v>
      </c>
      <c r="B5" s="54" t="s">
        <v>41</v>
      </c>
    </row>
    <row r="6" spans="1:2" ht="12.75">
      <c r="A6" s="50" t="s">
        <v>42</v>
      </c>
      <c r="B6" s="54" t="s">
        <v>43</v>
      </c>
    </row>
    <row r="7" spans="1:2" ht="12.75">
      <c r="A7" s="50" t="s">
        <v>44</v>
      </c>
      <c r="B7" s="54" t="s">
        <v>45</v>
      </c>
    </row>
    <row r="8" spans="1:2" ht="12.75">
      <c r="A8" s="50" t="s">
        <v>46</v>
      </c>
      <c r="B8" s="54" t="s">
        <v>47</v>
      </c>
    </row>
    <row r="9" spans="1:2" ht="12.75">
      <c r="A9" s="50" t="s">
        <v>48</v>
      </c>
      <c r="B9" s="54" t="s">
        <v>49</v>
      </c>
    </row>
    <row r="10" spans="1:2" ht="12.75">
      <c r="A10" s="50" t="s">
        <v>50</v>
      </c>
      <c r="B10" s="54" t="s">
        <v>51</v>
      </c>
    </row>
    <row r="11" spans="1:2" ht="12.75">
      <c r="A11" s="50" t="s">
        <v>52</v>
      </c>
      <c r="B11" s="54" t="s">
        <v>53</v>
      </c>
    </row>
    <row r="12" spans="1:2" ht="12.75">
      <c r="A12" s="50" t="s">
        <v>54</v>
      </c>
      <c r="B12" s="54" t="s">
        <v>55</v>
      </c>
    </row>
    <row r="13" spans="1:2" ht="12.75">
      <c r="A13" s="50" t="s">
        <v>56</v>
      </c>
      <c r="B13" s="54" t="s">
        <v>57</v>
      </c>
    </row>
    <row r="14" spans="1:2" ht="12.75">
      <c r="A14" s="50" t="s">
        <v>58</v>
      </c>
      <c r="B14" s="54" t="s">
        <v>91</v>
      </c>
    </row>
    <row r="15" spans="1:2" ht="12.75">
      <c r="A15" s="50" t="s">
        <v>59</v>
      </c>
      <c r="B15" t="s">
        <v>97</v>
      </c>
    </row>
    <row r="16" spans="1:2" ht="12.75">
      <c r="A16" s="50" t="s">
        <v>60</v>
      </c>
      <c r="B16" t="s">
        <v>98</v>
      </c>
    </row>
    <row r="17" spans="1:2" ht="12.75">
      <c r="A17" s="50" t="s">
        <v>61</v>
      </c>
      <c r="B17" s="54" t="s">
        <v>62</v>
      </c>
    </row>
    <row r="18" spans="1:2" ht="12.75">
      <c r="A18" s="50" t="s">
        <v>63</v>
      </c>
      <c r="B18" s="54" t="s">
        <v>94</v>
      </c>
    </row>
    <row r="19" spans="1:2" ht="12.75">
      <c r="A19" s="50" t="s">
        <v>64</v>
      </c>
      <c r="B19" s="54" t="s">
        <v>95</v>
      </c>
    </row>
    <row r="20" spans="1:2" ht="12.75">
      <c r="A20" s="50" t="s">
        <v>65</v>
      </c>
      <c r="B20" s="54" t="s">
        <v>66</v>
      </c>
    </row>
    <row r="21" spans="1:2" ht="12.75">
      <c r="A21" s="50" t="s">
        <v>67</v>
      </c>
      <c r="B21" s="54" t="s">
        <v>92</v>
      </c>
    </row>
    <row r="22" spans="1:2" ht="12.75">
      <c r="A22" s="50" t="s">
        <v>68</v>
      </c>
      <c r="B22" s="54" t="s">
        <v>93</v>
      </c>
    </row>
    <row r="23" spans="1:2" ht="12.75">
      <c r="A23" s="50" t="s">
        <v>69</v>
      </c>
      <c r="B23" s="54" t="s">
        <v>99</v>
      </c>
    </row>
    <row r="24" spans="1:2" ht="12.75">
      <c r="A24" s="50" t="s">
        <v>70</v>
      </c>
      <c r="B24" s="54" t="s">
        <v>71</v>
      </c>
    </row>
    <row r="25" spans="1:2" ht="12.75">
      <c r="A25" s="50" t="s">
        <v>72</v>
      </c>
      <c r="B25" s="54" t="s">
        <v>73</v>
      </c>
    </row>
    <row r="26" spans="1:2" ht="12.75">
      <c r="A26" s="50" t="s">
        <v>74</v>
      </c>
      <c r="B26" t="s">
        <v>96</v>
      </c>
    </row>
    <row r="27" spans="1:2" ht="12.75">
      <c r="A27" s="50" t="s">
        <v>75</v>
      </c>
      <c r="B27" s="54" t="s">
        <v>76</v>
      </c>
    </row>
    <row r="28" spans="1:2" ht="12.75">
      <c r="A28" s="50" t="s">
        <v>77</v>
      </c>
      <c r="B28" s="54" t="s">
        <v>78</v>
      </c>
    </row>
    <row r="29" spans="1:2" ht="12.75">
      <c r="A29" s="50" t="s">
        <v>79</v>
      </c>
      <c r="B29" s="54" t="s">
        <v>80</v>
      </c>
    </row>
    <row r="30" spans="1:2" ht="12.75">
      <c r="A30" s="50" t="s">
        <v>81</v>
      </c>
      <c r="B30" s="54" t="s">
        <v>82</v>
      </c>
    </row>
    <row r="31" spans="1:2" ht="12.75">
      <c r="A31" s="50" t="s">
        <v>83</v>
      </c>
      <c r="B31" s="54" t="s">
        <v>84</v>
      </c>
    </row>
    <row r="32" spans="1:2" ht="12.75">
      <c r="A32" s="50" t="s">
        <v>85</v>
      </c>
      <c r="B32" s="54" t="s">
        <v>86</v>
      </c>
    </row>
    <row r="33" spans="1:2" ht="12.75">
      <c r="A33" s="50" t="s">
        <v>87</v>
      </c>
      <c r="B33" s="54" t="s">
        <v>88</v>
      </c>
    </row>
    <row r="34" spans="1:2" ht="12.75">
      <c r="A34" s="50" t="s">
        <v>89</v>
      </c>
      <c r="B34" s="54" t="s">
        <v>90</v>
      </c>
    </row>
    <row r="35" ht="12.75">
      <c r="A35" s="52"/>
    </row>
    <row r="36" ht="12.75">
      <c r="A36" s="52"/>
    </row>
    <row r="37" ht="12.75">
      <c r="A37" s="52"/>
    </row>
    <row r="38" ht="12.75">
      <c r="A38" s="52"/>
    </row>
    <row r="39" ht="12.75">
      <c r="A39" s="52"/>
    </row>
    <row r="40" ht="12.75">
      <c r="A40" s="52"/>
    </row>
    <row r="41" ht="12.75">
      <c r="A41" s="52"/>
    </row>
    <row r="42" ht="12.75">
      <c r="A42" s="52"/>
    </row>
    <row r="43" ht="12.75">
      <c r="A43" s="52"/>
    </row>
    <row r="44" ht="12.75">
      <c r="A44" s="52"/>
    </row>
  </sheetData>
  <sheetProtection/>
  <conditionalFormatting sqref="B2:B14 B17 B20:B25 B27:B34">
    <cfRule type="containsText" priority="4" dxfId="0" operator="containsText" stopIfTrue="1" text="n/A">
      <formula>NOT(ISERROR(SEARCH("n/A",B2)))</formula>
    </cfRule>
  </conditionalFormatting>
  <conditionalFormatting sqref="B15:B16">
    <cfRule type="containsText" priority="3" dxfId="0" operator="containsText" stopIfTrue="1" text="n/A">
      <formula>NOT(ISERROR(SEARCH("n/A",B15)))</formula>
    </cfRule>
  </conditionalFormatting>
  <conditionalFormatting sqref="B18:B19">
    <cfRule type="containsText" priority="2" dxfId="0" operator="containsText" stopIfTrue="1" text="n/A">
      <formula>NOT(ISERROR(SEARCH("n/A",B18)))</formula>
    </cfRule>
  </conditionalFormatting>
  <conditionalFormatting sqref="B26">
    <cfRule type="containsText" priority="1" dxfId="0" operator="containsText" stopIfTrue="1" text="n/A">
      <formula>NOT(ISERROR(SEARCH("n/A",B26)))</formula>
    </cfRule>
  </conditionalFormatting>
  <hyperlinks>
    <hyperlink ref="B2" location="'A1'!A1" display="Number of Producers"/>
    <hyperlink ref="B3" location="'A2'!Print_Area" display="Milk Deliveries Per Day Per Producer"/>
    <hyperlink ref="B11" location="'A10'!Print_Area" display="Class III Utilization Percentage"/>
    <hyperlink ref="B12" location="'A11'!Print_Area" display="Class IV Utilization Percentage"/>
    <hyperlink ref="B13" location="'A12'!Print_Area" display="Statistical Uniform Price"/>
    <hyperlink ref="B14" location="'A13'!Print_Area" display="Producer Price Differential (if applicable)"/>
    <hyperlink ref="B17" location="'A14'!Print_Area" display="Class I Price"/>
    <hyperlink ref="B20" location="'A15'!Print_Area" display="Average Butterfat Test of Producer Receipts"/>
    <hyperlink ref="B21" location="'A16'!Print_Area" display="Average True Protein Test of Producer Receipts (if applicable)"/>
    <hyperlink ref="B22" location="'A17'!Print_Area" display="Average Other Solids Test of Producer Receipts (if applicable)"/>
    <hyperlink ref="B24" location="'A19'!Print_Area" display="Administrative Assessment"/>
    <hyperlink ref="B25" location="'A20-a'!Print_Area" display="Marketing Service Assessment"/>
    <hyperlink ref="B27" location="'A21'!Print_Area" display="Number of Cooperative Producers"/>
    <hyperlink ref="B28" location="'A22'!Print_Area" display="Cooperative Share of Producers"/>
    <hyperlink ref="B29" location="'A23'!Print_Area" display="Number of Non-Cooperative Producers"/>
    <hyperlink ref="B30" location="'A24'!Print_Area" display="Non-Cooperative Share of Producers"/>
    <hyperlink ref="B31" location="'A25'!Print_Area" display="Volume of Cooperative Producer Receipts"/>
    <hyperlink ref="B32" location="'A26'!Print_Area" display="Cooperative Share of Producer Receipts"/>
    <hyperlink ref="B33" location="'A27'!Print_Area" display="Volume of Non-Cooperative Producer Receipts"/>
    <hyperlink ref="B34" location="'A28'!Print_Area" display="Non-Cooperative Share of Producer Receipts"/>
    <hyperlink ref="B4" location="'A3'!Print_Area" display="Receipts of Milk from Producers"/>
    <hyperlink ref="B5" location="'A4'!Print_Area" display="Class I Utilization"/>
    <hyperlink ref="B6" location="'A5'!Print_Area" display="Class II Utilization"/>
    <hyperlink ref="B7" location="'A6'!Print_Area" display="Class III Utilization"/>
    <hyperlink ref="B8" location="'A7'!Print_Area" display="Class IV Utilization"/>
    <hyperlink ref="B9" location="'A8'!Print_Area" display="Class I Utilization Percentage"/>
    <hyperlink ref="B10" location="'A9'!Print_Area" display="Class II Utilization Percentage"/>
    <hyperlink ref="B18" location="'A14-a'!Print_Area" display="Class I Skim Price "/>
    <hyperlink ref="B19" location="'A14-b'!Print_Area" display="Class I Butterfat Price "/>
    <hyperlink ref="B23" location="'A18'!A1" display="Average Somatic Cell Count (if applicable)"/>
  </hyperlinks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AH39"/>
  <sheetViews>
    <sheetView zoomScale="90" zoomScaleNormal="90" zoomScalePageLayoutView="0" workbookViewId="0" topLeftCell="A1">
      <selection activeCell="M28" sqref="M28"/>
    </sheetView>
  </sheetViews>
  <sheetFormatPr defaultColWidth="9.140625" defaultRowHeight="12.75"/>
  <cols>
    <col min="1" max="1" width="6.7109375" style="28" customWidth="1"/>
    <col min="2" max="9" width="9.140625" style="28" customWidth="1"/>
    <col min="10" max="10" width="14.28125" style="28" bestFit="1" customWidth="1"/>
    <col min="11" max="11" width="12.28125" style="28" bestFit="1" customWidth="1"/>
    <col min="12" max="13" width="9.140625" style="28" customWidth="1"/>
    <col min="14" max="14" width="9.57421875" style="28" bestFit="1" customWidth="1"/>
    <col min="15" max="15" width="9.140625" style="28" customWidth="1"/>
    <col min="16" max="16" width="17.140625" style="28" bestFit="1" customWidth="1"/>
    <col min="17" max="18" width="9.140625" style="28" customWidth="1"/>
    <col min="19" max="19" width="17.28125" style="28" bestFit="1" customWidth="1"/>
    <col min="20" max="16384" width="9.140625" style="28" customWidth="1"/>
  </cols>
  <sheetData>
    <row r="1" ht="15.75">
      <c r="A1" s="36" t="s">
        <v>152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7"/>
      <c r="B4" s="101" t="s">
        <v>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34" ht="14.25">
      <c r="A5" s="33">
        <v>2000</v>
      </c>
      <c r="B5" s="31">
        <v>757</v>
      </c>
      <c r="C5" s="31">
        <v>709.299968</v>
      </c>
      <c r="D5" s="31">
        <v>793.100032</v>
      </c>
      <c r="E5" s="31">
        <v>749.2</v>
      </c>
      <c r="F5" s="31">
        <v>775.4</v>
      </c>
      <c r="G5" s="31">
        <v>776.899968</v>
      </c>
      <c r="H5" s="31">
        <v>862.499968</v>
      </c>
      <c r="I5" s="31">
        <v>824.8</v>
      </c>
      <c r="J5" s="31">
        <v>932.4</v>
      </c>
      <c r="K5" s="31">
        <v>985.4</v>
      </c>
      <c r="L5" s="31">
        <v>946.300032</v>
      </c>
      <c r="M5" s="31">
        <v>901.100032</v>
      </c>
      <c r="N5" s="31">
        <f>AVERAGE(B5:M5)</f>
        <v>834.4499999999999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25">
      <c r="A6" s="32">
        <v>2001</v>
      </c>
      <c r="B6" s="31">
        <v>1035.2</v>
      </c>
      <c r="C6" s="31">
        <v>868.899968</v>
      </c>
      <c r="D6" s="31">
        <v>964</v>
      </c>
      <c r="E6" s="31">
        <v>937.2</v>
      </c>
      <c r="F6" s="31">
        <v>1084.899968</v>
      </c>
      <c r="G6" s="31">
        <v>1216.300032</v>
      </c>
      <c r="H6" s="31">
        <v>1281.699968</v>
      </c>
      <c r="I6" s="31">
        <v>1180.499968</v>
      </c>
      <c r="J6" s="31">
        <v>969.8</v>
      </c>
      <c r="K6" s="31">
        <v>1062.300032</v>
      </c>
      <c r="L6" s="31">
        <v>1088.199936</v>
      </c>
      <c r="M6" s="31">
        <v>1174.899968</v>
      </c>
      <c r="N6" s="31">
        <f aca="true" t="shared" si="0" ref="N6:N28">AVERAGE(B6:M6)</f>
        <v>1071.9916533333333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14.25">
      <c r="A7" s="33">
        <v>2002</v>
      </c>
      <c r="B7" s="31">
        <v>1035.6</v>
      </c>
      <c r="C7" s="31">
        <v>1115.2</v>
      </c>
      <c r="D7" s="31">
        <v>1179.000064</v>
      </c>
      <c r="E7" s="31">
        <v>1166.700032</v>
      </c>
      <c r="F7" s="31">
        <v>1325.2</v>
      </c>
      <c r="G7" s="31">
        <v>1256.099968</v>
      </c>
      <c r="H7" s="31">
        <v>1059.500032</v>
      </c>
      <c r="I7" s="31">
        <v>996.2</v>
      </c>
      <c r="J7" s="31">
        <v>1050</v>
      </c>
      <c r="K7" s="31">
        <v>1106.499968</v>
      </c>
      <c r="L7" s="31">
        <v>972.499968</v>
      </c>
      <c r="M7" s="31">
        <v>992.8</v>
      </c>
      <c r="N7" s="31">
        <f t="shared" si="0"/>
        <v>1104.608336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14.25">
      <c r="A8" s="32">
        <v>2003</v>
      </c>
      <c r="B8" s="31">
        <v>1076.999936</v>
      </c>
      <c r="C8" s="31">
        <v>1036</v>
      </c>
      <c r="D8" s="31">
        <v>1068.499968</v>
      </c>
      <c r="E8" s="31">
        <v>1095.800064</v>
      </c>
      <c r="F8" s="31">
        <v>1138.4</v>
      </c>
      <c r="G8" s="31">
        <v>1066.499968</v>
      </c>
      <c r="H8" s="31">
        <v>725.299968</v>
      </c>
      <c r="I8" s="31">
        <v>725</v>
      </c>
      <c r="J8" s="31">
        <v>733</v>
      </c>
      <c r="K8" s="31">
        <v>799.100032</v>
      </c>
      <c r="L8" s="31">
        <v>1121.699968</v>
      </c>
      <c r="M8" s="31">
        <v>1122.300032</v>
      </c>
      <c r="N8" s="31">
        <f t="shared" si="0"/>
        <v>975.7166613333333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14.25">
      <c r="A9" s="33">
        <v>2004</v>
      </c>
      <c r="B9" s="31">
        <v>1174.899968</v>
      </c>
      <c r="C9" s="31">
        <v>1089.400064</v>
      </c>
      <c r="D9" s="31">
        <v>943.299968</v>
      </c>
      <c r="E9" s="31">
        <v>589.8</v>
      </c>
      <c r="F9" s="31">
        <v>630</v>
      </c>
      <c r="G9" s="31">
        <v>1192.600064</v>
      </c>
      <c r="H9" s="31">
        <v>1140.099968</v>
      </c>
      <c r="I9" s="31">
        <v>1208.099968</v>
      </c>
      <c r="J9" s="31">
        <v>1044.8</v>
      </c>
      <c r="K9" s="31">
        <v>1212.700032</v>
      </c>
      <c r="L9" s="31">
        <v>1152.099968</v>
      </c>
      <c r="M9" s="31">
        <v>723.6</v>
      </c>
      <c r="N9" s="31">
        <f t="shared" si="0"/>
        <v>1008.4500000000002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4.25">
      <c r="A10" s="32">
        <v>2005</v>
      </c>
      <c r="B10" s="31">
        <v>1206.700032</v>
      </c>
      <c r="C10" s="31">
        <v>868.6</v>
      </c>
      <c r="D10" s="31">
        <v>1298.700032</v>
      </c>
      <c r="E10" s="31">
        <v>1103.299968</v>
      </c>
      <c r="F10" s="31">
        <v>1357.2</v>
      </c>
      <c r="G10" s="31">
        <v>1260.4</v>
      </c>
      <c r="H10" s="31">
        <v>1289.6</v>
      </c>
      <c r="I10" s="31">
        <v>1056</v>
      </c>
      <c r="J10" s="31">
        <v>1088.700032</v>
      </c>
      <c r="K10" s="31">
        <v>1103.399936</v>
      </c>
      <c r="L10" s="31">
        <v>1066.499968</v>
      </c>
      <c r="M10" s="31">
        <v>1089.799936</v>
      </c>
      <c r="N10" s="31">
        <f t="shared" si="0"/>
        <v>1149.074992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14.25">
      <c r="A11" s="33">
        <v>2006</v>
      </c>
      <c r="B11" s="31">
        <v>1144.999936</v>
      </c>
      <c r="C11" s="31">
        <v>1051.699968</v>
      </c>
      <c r="D11" s="31">
        <v>1164.199936</v>
      </c>
      <c r="E11" s="31">
        <v>1141.2</v>
      </c>
      <c r="F11" s="31">
        <v>1188.499968</v>
      </c>
      <c r="G11" s="31">
        <v>1139.500032</v>
      </c>
      <c r="H11" s="31">
        <v>1141.6</v>
      </c>
      <c r="I11" s="31">
        <v>1014.499968</v>
      </c>
      <c r="J11" s="31">
        <v>925.4</v>
      </c>
      <c r="K11" s="31">
        <v>1009.4</v>
      </c>
      <c r="L11" s="31">
        <v>977.2</v>
      </c>
      <c r="M11" s="31">
        <v>1024.499968</v>
      </c>
      <c r="N11" s="31">
        <f t="shared" si="0"/>
        <v>1076.891648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1:34" ht="14.25">
      <c r="A12" s="33">
        <v>2007</v>
      </c>
      <c r="B12" s="31">
        <v>1111.500032</v>
      </c>
      <c r="C12" s="31">
        <v>955.6</v>
      </c>
      <c r="D12" s="31">
        <v>1068.900032</v>
      </c>
      <c r="E12" s="31">
        <v>1054.8</v>
      </c>
      <c r="F12" s="31">
        <v>1065.4</v>
      </c>
      <c r="G12" s="31">
        <v>990.300032</v>
      </c>
      <c r="H12" s="31">
        <v>1108</v>
      </c>
      <c r="I12" s="31">
        <v>908.899968</v>
      </c>
      <c r="J12" s="31">
        <v>974.8</v>
      </c>
      <c r="K12" s="31">
        <v>942.2</v>
      </c>
      <c r="L12" s="31">
        <v>935.900032</v>
      </c>
      <c r="M12" s="31">
        <v>1028.900032</v>
      </c>
      <c r="N12" s="31">
        <f t="shared" si="0"/>
        <v>1012.1000106666667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ht="14.25">
      <c r="A13" s="33">
        <v>2008</v>
      </c>
      <c r="B13" s="31">
        <v>1063.900032</v>
      </c>
      <c r="C13" s="31">
        <v>1046.099968</v>
      </c>
      <c r="D13" s="31">
        <v>969.900032</v>
      </c>
      <c r="E13" s="31">
        <v>1092.099968</v>
      </c>
      <c r="F13" s="31">
        <v>943.100032</v>
      </c>
      <c r="G13" s="31">
        <v>928.300032</v>
      </c>
      <c r="H13" s="31">
        <v>1056.700032</v>
      </c>
      <c r="I13" s="31">
        <v>1003.2</v>
      </c>
      <c r="J13" s="31">
        <v>933.500032</v>
      </c>
      <c r="K13" s="31">
        <v>901</v>
      </c>
      <c r="L13" s="31">
        <v>992.2</v>
      </c>
      <c r="M13" s="31">
        <v>928.4</v>
      </c>
      <c r="N13" s="31">
        <f t="shared" si="0"/>
        <v>988.2000106666668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ht="14.25">
      <c r="A14" s="32">
        <v>2009</v>
      </c>
      <c r="B14" s="31">
        <v>1072.900032</v>
      </c>
      <c r="C14" s="31">
        <v>987.6</v>
      </c>
      <c r="D14" s="31">
        <v>1076.899968</v>
      </c>
      <c r="E14" s="31">
        <v>1087.800064</v>
      </c>
      <c r="F14" s="31">
        <v>1150.300032</v>
      </c>
      <c r="G14" s="31">
        <v>1103.500032</v>
      </c>
      <c r="H14" s="31">
        <v>1128.4</v>
      </c>
      <c r="I14" s="31">
        <v>1057</v>
      </c>
      <c r="J14" s="31">
        <v>999.8</v>
      </c>
      <c r="K14" s="31">
        <v>1023.8</v>
      </c>
      <c r="L14" s="31">
        <v>1004.899968</v>
      </c>
      <c r="M14" s="31">
        <v>1071.500032</v>
      </c>
      <c r="N14" s="31">
        <f t="shared" si="0"/>
        <v>1063.7000106666665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ht="14.25">
      <c r="A15" s="33">
        <v>2010</v>
      </c>
      <c r="B15" s="31">
        <v>1096.4</v>
      </c>
      <c r="C15" s="31">
        <v>971.699968</v>
      </c>
      <c r="D15" s="31">
        <v>1137.799936</v>
      </c>
      <c r="E15" s="31">
        <v>1137.6</v>
      </c>
      <c r="F15" s="31">
        <v>1092.099968</v>
      </c>
      <c r="G15" s="31">
        <v>1015.299968</v>
      </c>
      <c r="H15" s="31">
        <v>982.4</v>
      </c>
      <c r="I15" s="31">
        <v>974.899968</v>
      </c>
      <c r="J15" s="31">
        <v>976.899968</v>
      </c>
      <c r="K15" s="31">
        <v>1065</v>
      </c>
      <c r="L15" s="31">
        <v>948.300032</v>
      </c>
      <c r="M15" s="31">
        <v>1011.699968</v>
      </c>
      <c r="N15" s="31">
        <f t="shared" si="0"/>
        <v>1034.1749813333333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14.25">
      <c r="A16" s="32">
        <v>2011</v>
      </c>
      <c r="B16" s="31">
        <v>947.900032</v>
      </c>
      <c r="C16" s="31">
        <v>948.6</v>
      </c>
      <c r="D16" s="31">
        <v>1094.099968</v>
      </c>
      <c r="E16" s="31">
        <v>988.099968</v>
      </c>
      <c r="F16" s="31">
        <v>914.4</v>
      </c>
      <c r="G16" s="31">
        <v>995.500032</v>
      </c>
      <c r="H16" s="31">
        <v>1101.299968</v>
      </c>
      <c r="I16" s="31">
        <v>1113.900032</v>
      </c>
      <c r="J16" s="31">
        <v>1019.699968</v>
      </c>
      <c r="K16" s="31">
        <v>1116.099968</v>
      </c>
      <c r="L16" s="31">
        <v>1061.699968</v>
      </c>
      <c r="M16" s="31">
        <v>1096.700032</v>
      </c>
      <c r="N16" s="31">
        <f t="shared" si="0"/>
        <v>1033.1666613333334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ht="14.25">
      <c r="A17" s="33">
        <v>2012</v>
      </c>
      <c r="B17" s="31">
        <v>1209.100032</v>
      </c>
      <c r="C17" s="31">
        <v>1171.900032</v>
      </c>
      <c r="D17" s="31">
        <v>1223.299968</v>
      </c>
      <c r="E17" s="31">
        <v>1213.500032</v>
      </c>
      <c r="F17" s="31">
        <v>1262.4</v>
      </c>
      <c r="G17" s="31">
        <v>1102.200064</v>
      </c>
      <c r="H17" s="31">
        <v>981.299968</v>
      </c>
      <c r="I17" s="31">
        <v>1013.2</v>
      </c>
      <c r="J17" s="31">
        <v>923.100032</v>
      </c>
      <c r="K17" s="31">
        <v>917.500032</v>
      </c>
      <c r="L17" s="31">
        <v>993.900032</v>
      </c>
      <c r="M17" s="31">
        <v>1093.2</v>
      </c>
      <c r="N17" s="31">
        <f t="shared" si="0"/>
        <v>1092.0500160000001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4.25">
      <c r="A18" s="32">
        <v>2013</v>
      </c>
      <c r="B18" s="31">
        <v>1203.900032</v>
      </c>
      <c r="C18" s="31">
        <v>1075.800064</v>
      </c>
      <c r="D18" s="31">
        <v>1105.900032</v>
      </c>
      <c r="E18" s="31">
        <v>1088.499968</v>
      </c>
      <c r="F18" s="31">
        <v>1219.500032</v>
      </c>
      <c r="G18" s="31">
        <v>1096.999936</v>
      </c>
      <c r="H18" s="31">
        <v>1052.8</v>
      </c>
      <c r="I18" s="31">
        <v>1110.300032</v>
      </c>
      <c r="J18" s="31">
        <v>1018.6</v>
      </c>
      <c r="K18" s="31">
        <v>1040.4</v>
      </c>
      <c r="L18" s="31">
        <v>1025</v>
      </c>
      <c r="M18" s="31">
        <v>995</v>
      </c>
      <c r="N18" s="31">
        <f t="shared" si="0"/>
        <v>1086.0583413333334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14.25">
      <c r="A19" s="33">
        <v>2014</v>
      </c>
      <c r="B19" s="31">
        <v>1022.899968</v>
      </c>
      <c r="C19" s="31">
        <v>1018.700032</v>
      </c>
      <c r="D19" s="31">
        <v>1140.600064</v>
      </c>
      <c r="E19" s="31">
        <v>1119.000064</v>
      </c>
      <c r="F19" s="31">
        <v>1221.900032</v>
      </c>
      <c r="G19" s="31">
        <v>1098.700032</v>
      </c>
      <c r="H19" s="31">
        <v>1140.199936</v>
      </c>
      <c r="I19" s="31">
        <v>1178.300032</v>
      </c>
      <c r="J19" s="31">
        <v>1198.099968</v>
      </c>
      <c r="K19" s="31">
        <v>1139.000064</v>
      </c>
      <c r="L19" s="31">
        <v>1190.099968</v>
      </c>
      <c r="M19" s="31">
        <v>1367.500032</v>
      </c>
      <c r="N19" s="31">
        <f t="shared" si="0"/>
        <v>1152.9166826666667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4.25">
      <c r="A20" s="32">
        <v>2015</v>
      </c>
      <c r="B20" s="31">
        <v>1380.4</v>
      </c>
      <c r="C20" s="31">
        <v>1292.4</v>
      </c>
      <c r="D20" s="31">
        <v>1251.2</v>
      </c>
      <c r="E20" s="31">
        <v>1195.500032</v>
      </c>
      <c r="F20" s="31">
        <v>1176.899968</v>
      </c>
      <c r="G20" s="31">
        <v>1143.2</v>
      </c>
      <c r="H20" s="31">
        <v>1150.099968</v>
      </c>
      <c r="I20" s="31">
        <v>1147.6</v>
      </c>
      <c r="J20" s="31">
        <v>1268</v>
      </c>
      <c r="K20" s="31">
        <v>1362.8</v>
      </c>
      <c r="L20" s="31">
        <v>1214.700032</v>
      </c>
      <c r="M20" s="31">
        <v>1285.400064</v>
      </c>
      <c r="N20" s="31">
        <f t="shared" si="0"/>
        <v>1239.016672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4.25">
      <c r="A21" s="33">
        <v>2016</v>
      </c>
      <c r="B21" s="31">
        <v>1411.299968</v>
      </c>
      <c r="C21" s="31">
        <v>1326.499968</v>
      </c>
      <c r="D21" s="31">
        <v>1466.300032</v>
      </c>
      <c r="E21" s="31">
        <v>1447.100032</v>
      </c>
      <c r="F21" s="31">
        <v>1512.899968</v>
      </c>
      <c r="G21" s="31">
        <v>1359.800064</v>
      </c>
      <c r="H21" s="31">
        <v>1395.6</v>
      </c>
      <c r="I21" s="31">
        <v>1238.4</v>
      </c>
      <c r="J21" s="31">
        <v>1227.399936</v>
      </c>
      <c r="K21" s="31">
        <v>1407.6</v>
      </c>
      <c r="L21" s="31">
        <v>1194.600064</v>
      </c>
      <c r="M21" s="31">
        <v>1258.899968</v>
      </c>
      <c r="N21" s="31">
        <f t="shared" si="0"/>
        <v>1353.8666666666668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4.25">
      <c r="A22" s="32">
        <v>2017</v>
      </c>
      <c r="B22" s="31">
        <v>1447.000064</v>
      </c>
      <c r="C22" s="31">
        <v>1335.900032</v>
      </c>
      <c r="D22" s="31">
        <v>1548.199936</v>
      </c>
      <c r="E22" s="31">
        <v>1540.899968</v>
      </c>
      <c r="F22" s="31">
        <v>1422.599936</v>
      </c>
      <c r="G22" s="31">
        <v>1484.487296</v>
      </c>
      <c r="H22" s="31">
        <v>1419.6</v>
      </c>
      <c r="I22" s="31">
        <v>1383.800064</v>
      </c>
      <c r="J22" s="31">
        <v>1345.2</v>
      </c>
      <c r="K22" s="31">
        <v>1255.6</v>
      </c>
      <c r="L22" s="31">
        <v>1219.000064</v>
      </c>
      <c r="M22" s="31">
        <v>1431.500032</v>
      </c>
      <c r="N22" s="31">
        <f t="shared" si="0"/>
        <v>1402.8156159999999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4.25">
      <c r="A23" s="32">
        <v>2018</v>
      </c>
      <c r="B23" s="31">
        <v>1468.700032</v>
      </c>
      <c r="C23" s="31">
        <v>1386.499968</v>
      </c>
      <c r="D23" s="31">
        <v>1366.5</v>
      </c>
      <c r="E23" s="31">
        <v>1435.8</v>
      </c>
      <c r="F23" s="31">
        <v>1413.500032</v>
      </c>
      <c r="G23" s="31">
        <v>1489.327232</v>
      </c>
      <c r="H23" s="31">
        <v>1427</v>
      </c>
      <c r="I23" s="31">
        <v>1459.6</v>
      </c>
      <c r="J23" s="31">
        <v>1230.7</v>
      </c>
      <c r="K23" s="31">
        <v>1406.6</v>
      </c>
      <c r="L23" s="31">
        <v>1323.8</v>
      </c>
      <c r="M23" s="31">
        <v>1333.6</v>
      </c>
      <c r="N23" s="31">
        <f t="shared" si="0"/>
        <v>1395.1356053333332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4.25">
      <c r="A24" s="32">
        <v>2019</v>
      </c>
      <c r="B24" s="31">
        <v>1300.216832</v>
      </c>
      <c r="C24" s="31">
        <f>1477.1-230.1</f>
        <v>1247</v>
      </c>
      <c r="D24" s="31">
        <f>1664.5-255.9</f>
        <v>1408.6</v>
      </c>
      <c r="E24" s="31">
        <f>1652.5-248.5</f>
        <v>1404</v>
      </c>
      <c r="F24" s="31">
        <f>1823-258.3</f>
        <v>1564.7</v>
      </c>
      <c r="G24" s="31">
        <v>1447</v>
      </c>
      <c r="H24" s="31">
        <v>1462.6</v>
      </c>
      <c r="I24" s="31">
        <v>1417.212974</v>
      </c>
      <c r="J24" s="31">
        <v>1194.063</v>
      </c>
      <c r="K24" s="31">
        <f>1457.7-211.8</f>
        <v>1245.9</v>
      </c>
      <c r="L24" s="31">
        <v>1124</v>
      </c>
      <c r="M24" s="31">
        <v>1282.6</v>
      </c>
      <c r="N24" s="31">
        <f t="shared" si="0"/>
        <v>1341.4910671666669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4.25">
      <c r="A25" s="34">
        <v>2020</v>
      </c>
      <c r="B25" s="82">
        <v>1493.8</v>
      </c>
      <c r="C25" s="82">
        <v>1465.8</v>
      </c>
      <c r="D25" s="82">
        <v>1490.3</v>
      </c>
      <c r="E25" s="82">
        <f>1748.8-252.9</f>
        <v>1495.8999999999999</v>
      </c>
      <c r="F25" s="82">
        <f>1786.8-255.7</f>
        <v>1531.1</v>
      </c>
      <c r="G25" s="82">
        <v>1083.8</v>
      </c>
      <c r="H25" s="82">
        <v>1027.3</v>
      </c>
      <c r="I25" s="82">
        <v>1164.7</v>
      </c>
      <c r="J25" s="82">
        <v>1246.1</v>
      </c>
      <c r="K25" s="82">
        <v>1091.7</v>
      </c>
      <c r="L25" s="82">
        <v>1068.5</v>
      </c>
      <c r="M25" s="82">
        <v>1220.6</v>
      </c>
      <c r="N25" s="31">
        <f t="shared" si="0"/>
        <v>1281.6333333333334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14" ht="14.25">
      <c r="A26" s="34">
        <v>2021</v>
      </c>
      <c r="B26" s="82">
        <v>1195.2</v>
      </c>
      <c r="C26" s="82">
        <v>1071.5</v>
      </c>
      <c r="D26" s="82">
        <f>1475.8-225.8</f>
        <v>1250</v>
      </c>
      <c r="E26" s="82">
        <f>1289.5-181.1</f>
        <v>1108.4</v>
      </c>
      <c r="F26" s="82">
        <f>1422.6-202</f>
        <v>1220.6</v>
      </c>
      <c r="G26" s="82">
        <f>1597.5-211.4</f>
        <v>1386.1</v>
      </c>
      <c r="H26" s="82">
        <f>1767.1-226.9</f>
        <v>1540.1999999999998</v>
      </c>
      <c r="I26" s="82">
        <f>1750.8-219.5</f>
        <v>1531.3</v>
      </c>
      <c r="J26" s="82">
        <f>1687.5-219.7</f>
        <v>1467.8</v>
      </c>
      <c r="K26" s="82">
        <f>1614.5-219.5</f>
        <v>1395</v>
      </c>
      <c r="L26" s="82">
        <f>1669.2-221.1</f>
        <v>1448.1000000000001</v>
      </c>
      <c r="M26" s="82">
        <f>1642.4-228.2</f>
        <v>1414.2</v>
      </c>
      <c r="N26" s="31">
        <f t="shared" si="0"/>
        <v>1335.7</v>
      </c>
    </row>
    <row r="27" spans="1:14" ht="14.25">
      <c r="A27" s="34">
        <v>2022</v>
      </c>
      <c r="B27" s="82">
        <f>1542-224.3</f>
        <v>1317.7</v>
      </c>
      <c r="C27" s="82">
        <f>1278.6-208.1</f>
        <v>1070.5</v>
      </c>
      <c r="D27" s="82">
        <f>1434.2-227.5</f>
        <v>1206.7</v>
      </c>
      <c r="E27" s="82">
        <f>1548.8-224.5</f>
        <v>1324.3</v>
      </c>
      <c r="F27" s="82">
        <f>1725.2-242.1</f>
        <v>1483.1000000000001</v>
      </c>
      <c r="G27" s="82">
        <f>1319.7-209.2</f>
        <v>1110.5</v>
      </c>
      <c r="H27" s="82">
        <f>1314.3-212</f>
        <v>1102.3</v>
      </c>
      <c r="I27" s="82">
        <f>1301.1-214.9</f>
        <v>1086.1999999999998</v>
      </c>
      <c r="J27" s="82">
        <f>1303.4-210.2</f>
        <v>1093.2</v>
      </c>
      <c r="K27" s="82">
        <f>1326.1-213.1</f>
        <v>1113</v>
      </c>
      <c r="L27" s="82">
        <f>1317.7-208.7</f>
        <v>1109</v>
      </c>
      <c r="M27" s="82">
        <f>1384.8-215.8</f>
        <v>1169</v>
      </c>
      <c r="N27" s="31">
        <f t="shared" si="0"/>
        <v>1182.125</v>
      </c>
    </row>
    <row r="28" spans="1:14" ht="14.25">
      <c r="A28" s="38">
        <v>2023</v>
      </c>
      <c r="B28" s="40">
        <f>1481.5-221.5</f>
        <v>1260</v>
      </c>
      <c r="C28" s="40">
        <f>1437.8-212.2</f>
        <v>1225.6</v>
      </c>
      <c r="D28" s="40">
        <f>1631.3-232</f>
        <v>1399.3</v>
      </c>
      <c r="E28" s="40">
        <f>1634.9-226.3</f>
        <v>1408.6000000000001</v>
      </c>
      <c r="F28" s="40">
        <f>1563.5-236.7</f>
        <v>1326.8</v>
      </c>
      <c r="G28" s="40">
        <f>1351.8-222</f>
        <v>1129.8</v>
      </c>
      <c r="H28" s="40">
        <f>1394.6-220.2</f>
        <v>1174.3999999999999</v>
      </c>
      <c r="I28" s="40">
        <v>1172.8</v>
      </c>
      <c r="J28" s="40">
        <v>1313.3</v>
      </c>
      <c r="K28" s="40">
        <v>1278.3</v>
      </c>
      <c r="L28" s="40">
        <v>1267.1</v>
      </c>
      <c r="M28" s="40">
        <v>1141.4</v>
      </c>
      <c r="N28" s="40">
        <f t="shared" si="0"/>
        <v>1258.1166666666666</v>
      </c>
    </row>
    <row r="29" spans="2:14" ht="14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4.2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2:14" ht="14.2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2:14" ht="14.25">
      <c r="B32" s="29"/>
      <c r="C32" s="28" t="s">
        <v>127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7" ht="14.25">
      <c r="J37" s="91"/>
    </row>
    <row r="38" ht="14.25">
      <c r="J38" s="91"/>
    </row>
    <row r="39" ht="14.25">
      <c r="J39" s="29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AH32"/>
  <sheetViews>
    <sheetView zoomScale="90" zoomScaleNormal="90" zoomScalePageLayoutView="0" workbookViewId="0" topLeftCell="A1">
      <selection activeCell="L28" sqref="L28"/>
    </sheetView>
  </sheetViews>
  <sheetFormatPr defaultColWidth="9.140625" defaultRowHeight="12.75"/>
  <cols>
    <col min="1" max="1" width="6.7109375" style="28" customWidth="1"/>
    <col min="2" max="8" width="9.140625" style="28" customWidth="1"/>
    <col min="9" max="9" width="14.28125" style="28" bestFit="1" customWidth="1"/>
    <col min="10" max="16384" width="9.140625" style="28" customWidth="1"/>
  </cols>
  <sheetData>
    <row r="1" ht="15.75">
      <c r="A1" s="36" t="s">
        <v>153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7"/>
      <c r="B4" s="101" t="s">
        <v>27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34" ht="14.25">
      <c r="A5" s="33">
        <v>2000</v>
      </c>
      <c r="B5" s="31">
        <v>67.3674506540832</v>
      </c>
      <c r="C5" s="31">
        <v>67.0717147212388</v>
      </c>
      <c r="D5" s="31">
        <v>68.037658573988</v>
      </c>
      <c r="E5" s="31">
        <v>67.8133517652171</v>
      </c>
      <c r="F5" s="31">
        <v>68.3962238728828</v>
      </c>
      <c r="G5" s="31">
        <v>69.7108351458622</v>
      </c>
      <c r="H5" s="31">
        <v>71.0860286075986</v>
      </c>
      <c r="I5" s="31">
        <v>69.6219152853162</v>
      </c>
      <c r="J5" s="31">
        <v>74.0345240025115</v>
      </c>
      <c r="K5" s="31">
        <v>75.03092488199</v>
      </c>
      <c r="L5" s="31">
        <v>74.8408879848993</v>
      </c>
      <c r="M5" s="31">
        <v>72.3324123926925</v>
      </c>
      <c r="N5" s="31">
        <f>AVERAGE(B5:M5)</f>
        <v>70.44532732402335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25">
      <c r="A6" s="32">
        <v>2001</v>
      </c>
      <c r="B6" s="31">
        <v>74.7345051830325</v>
      </c>
      <c r="C6" s="31">
        <v>72.6981429646491</v>
      </c>
      <c r="D6" s="31">
        <v>72.044571626796</v>
      </c>
      <c r="E6" s="31">
        <v>71.7603040089904</v>
      </c>
      <c r="F6" s="31">
        <v>73.6355202958619</v>
      </c>
      <c r="G6" s="31">
        <v>76.705309923773</v>
      </c>
      <c r="H6" s="31">
        <v>77.6183371077443</v>
      </c>
      <c r="I6" s="31">
        <v>76.6752801576466</v>
      </c>
      <c r="J6" s="31">
        <v>73.3100174771217</v>
      </c>
      <c r="K6" s="31">
        <v>74.5638798945582</v>
      </c>
      <c r="L6" s="31">
        <v>75.1477878498132</v>
      </c>
      <c r="M6" s="31">
        <v>75.3801384427977</v>
      </c>
      <c r="N6" s="31">
        <f aca="true" t="shared" si="0" ref="N6:N28">AVERAGE(B6:M6)</f>
        <v>74.52281624439873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14.25">
      <c r="A7" s="33">
        <v>2002</v>
      </c>
      <c r="B7" s="31">
        <v>72.6423099713611</v>
      </c>
      <c r="C7" s="31">
        <v>75.6825746563655</v>
      </c>
      <c r="D7" s="31">
        <v>74.816260238185</v>
      </c>
      <c r="E7" s="31">
        <v>74.9133434609938</v>
      </c>
      <c r="F7" s="31">
        <v>76.3711896153254</v>
      </c>
      <c r="G7" s="31">
        <v>77.1012649469799</v>
      </c>
      <c r="H7" s="31">
        <v>74.0846980056527</v>
      </c>
      <c r="I7" s="31">
        <v>73.2752178278519</v>
      </c>
      <c r="J7" s="31">
        <v>75.0680907261734</v>
      </c>
      <c r="K7" s="31">
        <v>75.286082119399</v>
      </c>
      <c r="L7" s="31">
        <v>73.6307320466804</v>
      </c>
      <c r="M7" s="31">
        <v>72.803930396741</v>
      </c>
      <c r="N7" s="31">
        <f t="shared" si="0"/>
        <v>74.63964116764241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14.25">
      <c r="A8" s="32">
        <v>2003</v>
      </c>
      <c r="B8" s="31">
        <v>73.6229852696325</v>
      </c>
      <c r="C8" s="31">
        <v>74.6521820988112</v>
      </c>
      <c r="D8" s="31">
        <v>73.3459875587216</v>
      </c>
      <c r="E8" s="31">
        <v>74.3748729343073</v>
      </c>
      <c r="F8" s="31">
        <v>74.2356548234187</v>
      </c>
      <c r="G8" s="31">
        <v>74.5797859178544</v>
      </c>
      <c r="H8" s="31">
        <v>71.2278635589586</v>
      </c>
      <c r="I8" s="31">
        <v>71.9166343406355</v>
      </c>
      <c r="J8" s="31">
        <v>72.8460391459409</v>
      </c>
      <c r="K8" s="31">
        <v>73.9783920521714</v>
      </c>
      <c r="L8" s="31">
        <v>78.0298104088905</v>
      </c>
      <c r="M8" s="31">
        <v>77.0978599474375</v>
      </c>
      <c r="N8" s="31">
        <f t="shared" si="0"/>
        <v>74.15900567139836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14.25">
      <c r="A9" s="33">
        <v>2004</v>
      </c>
      <c r="B9" s="31">
        <v>77.64812736517</v>
      </c>
      <c r="C9" s="31">
        <v>77.3808577164676</v>
      </c>
      <c r="D9" s="31">
        <v>72.7081549026874</v>
      </c>
      <c r="E9" s="31">
        <v>67.538348796615</v>
      </c>
      <c r="F9" s="31">
        <v>68.5454423321008</v>
      </c>
      <c r="G9" s="31">
        <v>76.8279465684967</v>
      </c>
      <c r="H9" s="31">
        <v>76.6512428732469</v>
      </c>
      <c r="I9" s="31">
        <v>78.1361627804817</v>
      </c>
      <c r="J9" s="31">
        <v>78.1755960035085</v>
      </c>
      <c r="K9" s="31">
        <v>78.4524769252523</v>
      </c>
      <c r="L9" s="31">
        <v>78.0170973542487</v>
      </c>
      <c r="M9" s="31">
        <v>73.5078585096886</v>
      </c>
      <c r="N9" s="31">
        <f t="shared" si="0"/>
        <v>75.29910934399702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4.25">
      <c r="A10" s="32">
        <v>2005</v>
      </c>
      <c r="B10" s="31">
        <v>77.4281250348958</v>
      </c>
      <c r="C10" s="31">
        <v>73.0010504587261</v>
      </c>
      <c r="D10" s="31">
        <v>78.06580060797</v>
      </c>
      <c r="E10" s="31">
        <v>75.115640985401</v>
      </c>
      <c r="F10" s="31">
        <v>77.7933221888954</v>
      </c>
      <c r="G10" s="31">
        <v>77.3886562741196</v>
      </c>
      <c r="H10" s="31">
        <v>77.8949013095036</v>
      </c>
      <c r="I10" s="31">
        <v>74.5209168809726</v>
      </c>
      <c r="J10" s="31">
        <v>76.0676975993952</v>
      </c>
      <c r="K10" s="31">
        <v>75.9317698189634</v>
      </c>
      <c r="L10" s="31">
        <v>75.9304061760041</v>
      </c>
      <c r="M10" s="31">
        <v>75.4436358804869</v>
      </c>
      <c r="N10" s="31">
        <f t="shared" si="0"/>
        <v>76.21516026794447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14.25">
      <c r="A11" s="33">
        <v>2006</v>
      </c>
      <c r="B11" s="31">
        <v>75.7129223894488</v>
      </c>
      <c r="C11" s="31">
        <v>75.6739891601587</v>
      </c>
      <c r="D11" s="31">
        <v>75.4154509287634</v>
      </c>
      <c r="E11" s="31">
        <v>75.4074774073098</v>
      </c>
      <c r="F11" s="31">
        <v>75.320869861173</v>
      </c>
      <c r="G11" s="31">
        <v>75.9263988047491</v>
      </c>
      <c r="H11" s="31">
        <v>76.0188631566265</v>
      </c>
      <c r="I11" s="31">
        <v>74.5854412751792</v>
      </c>
      <c r="J11" s="31">
        <v>73.4640417355397</v>
      </c>
      <c r="K11" s="31">
        <v>74.8368391759284</v>
      </c>
      <c r="L11" s="31">
        <v>74.747257317597</v>
      </c>
      <c r="M11" s="31">
        <v>74.5839210979054</v>
      </c>
      <c r="N11" s="31">
        <f t="shared" si="0"/>
        <v>75.14112269253158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1:34" ht="14.25">
      <c r="A12" s="33">
        <v>2007</v>
      </c>
      <c r="B12" s="31">
        <v>75.5233861046099</v>
      </c>
      <c r="C12" s="31">
        <v>74.8146958359844</v>
      </c>
      <c r="D12" s="31">
        <v>74.6218905289875</v>
      </c>
      <c r="E12" s="31">
        <v>74.4920604934656</v>
      </c>
      <c r="F12" s="31">
        <v>74.7990607552008</v>
      </c>
      <c r="G12" s="31">
        <v>75.4235603231165</v>
      </c>
      <c r="H12" s="31">
        <v>75.4973284817196</v>
      </c>
      <c r="I12" s="31">
        <v>72.8969529302786</v>
      </c>
      <c r="J12" s="31">
        <v>74.6747003284281</v>
      </c>
      <c r="K12" s="31">
        <v>73.8104278009309</v>
      </c>
      <c r="L12" s="31">
        <v>74.2063837643066</v>
      </c>
      <c r="M12" s="31">
        <v>74.8060475876712</v>
      </c>
      <c r="N12" s="31">
        <f t="shared" si="0"/>
        <v>74.6305412445583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ht="14.25">
      <c r="A13" s="33">
        <v>2008</v>
      </c>
      <c r="B13" s="31">
        <v>72.4011611637855</v>
      </c>
      <c r="C13" s="31">
        <v>76.0587094760723</v>
      </c>
      <c r="D13" s="31">
        <v>75.2818773948736</v>
      </c>
      <c r="E13" s="31">
        <v>75.6231559606042</v>
      </c>
      <c r="F13" s="31">
        <v>76.6463115980525</v>
      </c>
      <c r="G13" s="31">
        <v>76.3697237528006</v>
      </c>
      <c r="H13" s="31">
        <v>76.0666864519229</v>
      </c>
      <c r="I13" s="31">
        <v>75.4801136768432</v>
      </c>
      <c r="J13" s="31">
        <v>74.4925807167682</v>
      </c>
      <c r="K13" s="31">
        <v>75.9019486260937</v>
      </c>
      <c r="L13" s="31">
        <v>76.3226189286536</v>
      </c>
      <c r="M13" s="31">
        <v>75.7657192147157</v>
      </c>
      <c r="N13" s="31">
        <f t="shared" si="0"/>
        <v>75.5342172467655</v>
      </c>
      <c r="O13" s="42"/>
      <c r="P13" s="42"/>
      <c r="Q13" s="7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ht="14.25">
      <c r="A14" s="32">
        <v>2009</v>
      </c>
      <c r="B14" s="31">
        <v>77.0726414307513</v>
      </c>
      <c r="C14" s="31">
        <v>77.2702143299313</v>
      </c>
      <c r="D14" s="31">
        <v>76.5473739343223</v>
      </c>
      <c r="E14" s="31">
        <v>76.891303635704</v>
      </c>
      <c r="F14" s="31">
        <v>77.0199100747212</v>
      </c>
      <c r="G14" s="31">
        <v>77.1137981248873</v>
      </c>
      <c r="H14" s="31">
        <v>77.2722905539255</v>
      </c>
      <c r="I14" s="31">
        <v>76.6977239285033</v>
      </c>
      <c r="J14" s="31">
        <v>76.5403731727654</v>
      </c>
      <c r="K14" s="31">
        <v>76.6287502999583</v>
      </c>
      <c r="L14" s="31">
        <v>76.8181258260576</v>
      </c>
      <c r="M14" s="31">
        <v>77.0519725477327</v>
      </c>
      <c r="N14" s="31">
        <f t="shared" si="0"/>
        <v>76.91037315493834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ht="14.25">
      <c r="A15" s="33">
        <v>2010</v>
      </c>
      <c r="B15" s="31">
        <v>77.4403442697663</v>
      </c>
      <c r="C15" s="31">
        <v>77.1664354983759</v>
      </c>
      <c r="D15" s="31">
        <v>77.148215000772</v>
      </c>
      <c r="E15" s="31">
        <v>78.2715395009894</v>
      </c>
      <c r="F15" s="31">
        <v>77.3860845198977</v>
      </c>
      <c r="G15" s="31">
        <v>76.8458188013076</v>
      </c>
      <c r="H15" s="31">
        <v>76.8947621392774</v>
      </c>
      <c r="I15" s="31">
        <v>77.1356305118707</v>
      </c>
      <c r="J15" s="31">
        <v>78.0312984402974</v>
      </c>
      <c r="K15" s="31">
        <v>78.3811458126531</v>
      </c>
      <c r="L15" s="31">
        <v>77.3491496099134</v>
      </c>
      <c r="M15" s="31">
        <v>77.3608556671557</v>
      </c>
      <c r="N15" s="31">
        <f t="shared" si="0"/>
        <v>77.45093998102304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14.25">
      <c r="A16" s="32">
        <v>2011</v>
      </c>
      <c r="B16" s="31">
        <v>76.104361317039</v>
      </c>
      <c r="C16" s="31">
        <v>78.0762857856824</v>
      </c>
      <c r="D16" s="31">
        <v>76.8814998102166</v>
      </c>
      <c r="E16" s="31">
        <v>76.1195380216111</v>
      </c>
      <c r="F16" s="31">
        <v>74.1820058759222</v>
      </c>
      <c r="G16" s="31">
        <v>77.5584604901785</v>
      </c>
      <c r="H16" s="31">
        <v>78.6642821362296</v>
      </c>
      <c r="I16" s="31">
        <v>78.8681641208341</v>
      </c>
      <c r="J16" s="31">
        <v>78.004156653991</v>
      </c>
      <c r="K16" s="31">
        <v>79.1152627737432</v>
      </c>
      <c r="L16" s="31">
        <v>78.9380069670878</v>
      </c>
      <c r="M16" s="31">
        <v>80.3260929017402</v>
      </c>
      <c r="N16" s="31">
        <f t="shared" si="0"/>
        <v>77.7365097378563</v>
      </c>
      <c r="O16" s="42"/>
      <c r="P16" s="42"/>
      <c r="Q16" s="73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ht="14.25">
      <c r="A17" s="33">
        <v>2012</v>
      </c>
      <c r="B17" s="31">
        <v>79.4299159194847</v>
      </c>
      <c r="C17" s="31">
        <v>79.7364303284084</v>
      </c>
      <c r="D17" s="31">
        <v>78.5315718603083</v>
      </c>
      <c r="E17" s="31">
        <v>78.645479206581</v>
      </c>
      <c r="F17" s="31">
        <v>79.191769304329</v>
      </c>
      <c r="G17" s="31">
        <v>77.9243143095713</v>
      </c>
      <c r="H17" s="31">
        <v>77.9267439252638</v>
      </c>
      <c r="I17" s="31">
        <v>78.6984959559315</v>
      </c>
      <c r="J17" s="31">
        <v>77.5820992555171</v>
      </c>
      <c r="K17" s="31">
        <v>75.513449981585</v>
      </c>
      <c r="L17" s="31">
        <v>75.9116214217187</v>
      </c>
      <c r="M17" s="31">
        <v>75.7194020597572</v>
      </c>
      <c r="N17" s="31">
        <f t="shared" si="0"/>
        <v>77.90094112737133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4.25">
      <c r="A18" s="32">
        <v>2013</v>
      </c>
      <c r="B18" s="31">
        <v>78.5437117560914</v>
      </c>
      <c r="C18" s="31">
        <v>78.7973592939487</v>
      </c>
      <c r="D18" s="31">
        <v>76.9735641954231</v>
      </c>
      <c r="E18" s="31">
        <v>76.8310282610138</v>
      </c>
      <c r="F18" s="31">
        <v>77.7608280998602</v>
      </c>
      <c r="G18" s="31">
        <v>77.6161989157061</v>
      </c>
      <c r="H18" s="31">
        <v>77.8934505877177</v>
      </c>
      <c r="I18" s="31">
        <v>78.4099645507169</v>
      </c>
      <c r="J18" s="31">
        <v>78.3827508785322</v>
      </c>
      <c r="K18" s="31">
        <v>78.3151335757641</v>
      </c>
      <c r="L18" s="31">
        <v>78.4877728791674</v>
      </c>
      <c r="M18" s="31">
        <v>77.4670490442283</v>
      </c>
      <c r="N18" s="31">
        <f t="shared" si="0"/>
        <v>77.9565676698475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14.25">
      <c r="A19" s="33">
        <v>2014</v>
      </c>
      <c r="B19" s="31">
        <v>77.3705589675955</v>
      </c>
      <c r="C19" s="31">
        <v>78.558955590097</v>
      </c>
      <c r="D19" s="31">
        <v>78.7623849354886</v>
      </c>
      <c r="E19" s="31">
        <v>78.7576430294</v>
      </c>
      <c r="F19" s="31">
        <v>79.300063791023</v>
      </c>
      <c r="G19" s="31">
        <v>79.095064545361</v>
      </c>
      <c r="H19" s="31">
        <v>80.3120749625652</v>
      </c>
      <c r="I19" s="31">
        <v>80.9148161429947</v>
      </c>
      <c r="J19" s="31">
        <v>81.5796772363206</v>
      </c>
      <c r="K19" s="31">
        <v>80.2855702451723</v>
      </c>
      <c r="L19" s="31">
        <v>82.2582743362611</v>
      </c>
      <c r="M19" s="31">
        <v>81.9202315078268</v>
      </c>
      <c r="N19" s="31">
        <f t="shared" si="0"/>
        <v>79.92627627417548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4.25">
      <c r="A20" s="32">
        <v>2015</v>
      </c>
      <c r="B20" s="31">
        <v>81.7288397747558</v>
      </c>
      <c r="C20" s="31">
        <v>82.2765544725918</v>
      </c>
      <c r="D20" s="31">
        <v>80.2229369257513</v>
      </c>
      <c r="E20" s="31">
        <v>80.0952740729795</v>
      </c>
      <c r="F20" s="31">
        <v>79.1652588862581</v>
      </c>
      <c r="G20" s="31">
        <v>79.7007560099848</v>
      </c>
      <c r="H20" s="31">
        <v>80.0147893438247</v>
      </c>
      <c r="I20" s="31">
        <v>80.4344502682159</v>
      </c>
      <c r="J20" s="31">
        <v>81.2578840934657</v>
      </c>
      <c r="K20" s="31">
        <v>82.5247898719047</v>
      </c>
      <c r="L20" s="31">
        <v>81.3939253516596</v>
      </c>
      <c r="M20" s="31">
        <v>81.6135237932394</v>
      </c>
      <c r="N20" s="31">
        <f t="shared" si="0"/>
        <v>80.86908190538594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4.25">
      <c r="A21" s="33">
        <v>2016</v>
      </c>
      <c r="B21" s="31">
        <v>82.7830362014313</v>
      </c>
      <c r="C21" s="31">
        <v>82.8236050539345</v>
      </c>
      <c r="D21" s="31">
        <v>83.0269337458984</v>
      </c>
      <c r="E21" s="31">
        <v>82.9247938483137</v>
      </c>
      <c r="F21" s="31">
        <v>82.8694678211454</v>
      </c>
      <c r="G21" s="31">
        <v>82.5169000996416</v>
      </c>
      <c r="H21" s="31">
        <v>82.7685328392756</v>
      </c>
      <c r="I21" s="31">
        <v>82.4671055337303</v>
      </c>
      <c r="J21" s="31">
        <v>81.7967334114939</v>
      </c>
      <c r="K21" s="31">
        <v>83.2183071005494</v>
      </c>
      <c r="L21" s="31">
        <v>82.7067860071014</v>
      </c>
      <c r="M21" s="31">
        <v>81.7410041392972</v>
      </c>
      <c r="N21" s="31">
        <f t="shared" si="0"/>
        <v>82.63693381681773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4.25">
      <c r="A22" s="32">
        <v>2017</v>
      </c>
      <c r="B22" s="31">
        <v>83.0594591197191</v>
      </c>
      <c r="C22" s="31">
        <v>82.9916394582247</v>
      </c>
      <c r="D22" s="31">
        <v>83.4277054370365</v>
      </c>
      <c r="E22" s="31">
        <v>83.6259333199638</v>
      </c>
      <c r="F22" s="31">
        <v>81.9666866662663</v>
      </c>
      <c r="G22" s="31">
        <v>83.5455520699056</v>
      </c>
      <c r="H22" s="31">
        <v>82.9</v>
      </c>
      <c r="I22" s="31">
        <v>82.9028264084821</v>
      </c>
      <c r="J22" s="31">
        <v>83.2206871652033</v>
      </c>
      <c r="K22" s="31">
        <v>81.8582378580412</v>
      </c>
      <c r="L22" s="31">
        <v>82.0167433586646</v>
      </c>
      <c r="M22" s="31">
        <v>86.1894622593449</v>
      </c>
      <c r="N22" s="31">
        <f t="shared" si="0"/>
        <v>83.142077760071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4.25">
      <c r="A23" s="32">
        <v>2018</v>
      </c>
      <c r="B23" s="31">
        <v>86.2307597173891</v>
      </c>
      <c r="C23" s="31">
        <v>86.3726182978111</v>
      </c>
      <c r="D23" s="31">
        <v>84.7</v>
      </c>
      <c r="E23" s="31">
        <v>85.6802626889953</v>
      </c>
      <c r="F23" s="31">
        <v>84.449144711867</v>
      </c>
      <c r="G23" s="31">
        <v>86.1883685135768</v>
      </c>
      <c r="H23" s="31">
        <v>85.7</v>
      </c>
      <c r="I23" s="31">
        <v>85.9</v>
      </c>
      <c r="J23" s="31">
        <v>84.2</v>
      </c>
      <c r="K23" s="31">
        <v>85.4</v>
      </c>
      <c r="L23" s="31">
        <v>85.2</v>
      </c>
      <c r="M23" s="31">
        <v>84.7</v>
      </c>
      <c r="N23" s="31">
        <f t="shared" si="0"/>
        <v>85.39342949413663</v>
      </c>
      <c r="O23" s="7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4.25">
      <c r="A24" s="32">
        <v>2019</v>
      </c>
      <c r="B24" s="31">
        <v>84.368318020167</v>
      </c>
      <c r="C24" s="31">
        <v>84.4</v>
      </c>
      <c r="D24" s="31">
        <v>84.6</v>
      </c>
      <c r="E24" s="31">
        <v>85</v>
      </c>
      <c r="F24" s="31">
        <v>85.8</v>
      </c>
      <c r="G24" s="31">
        <v>85.5</v>
      </c>
      <c r="H24" s="31">
        <v>86</v>
      </c>
      <c r="I24" s="31">
        <v>85.4</v>
      </c>
      <c r="J24" s="31">
        <v>83.79</v>
      </c>
      <c r="K24" s="31">
        <v>85.5</v>
      </c>
      <c r="L24" s="31">
        <v>85</v>
      </c>
      <c r="M24" s="31">
        <v>83.9</v>
      </c>
      <c r="N24" s="31">
        <f t="shared" si="0"/>
        <v>84.93819316834724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4.25">
      <c r="A25" s="34">
        <v>2020</v>
      </c>
      <c r="B25" s="82">
        <v>85.6</v>
      </c>
      <c r="C25" s="82">
        <v>86</v>
      </c>
      <c r="D25" s="82">
        <v>85.3</v>
      </c>
      <c r="E25" s="82">
        <v>85.5</v>
      </c>
      <c r="F25" s="82">
        <v>85.7</v>
      </c>
      <c r="G25" s="82">
        <v>83.8</v>
      </c>
      <c r="H25" s="82">
        <v>84.7</v>
      </c>
      <c r="I25" s="82">
        <v>86.2</v>
      </c>
      <c r="J25" s="82">
        <v>86.2</v>
      </c>
      <c r="K25" s="82">
        <v>85.3</v>
      </c>
      <c r="L25" s="82">
        <v>85.6</v>
      </c>
      <c r="M25" s="82">
        <v>85.9</v>
      </c>
      <c r="N25" s="31">
        <f t="shared" si="0"/>
        <v>85.48333333333335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14" ht="14.25">
      <c r="A26" s="34">
        <v>2021</v>
      </c>
      <c r="B26" s="82">
        <v>85</v>
      </c>
      <c r="C26" s="82">
        <v>83.5</v>
      </c>
      <c r="D26" s="82">
        <v>84.7</v>
      </c>
      <c r="E26" s="82">
        <v>85.6</v>
      </c>
      <c r="F26" s="82">
        <v>85.8</v>
      </c>
      <c r="G26" s="82">
        <v>86.8</v>
      </c>
      <c r="H26" s="82">
        <v>87.2</v>
      </c>
      <c r="I26" s="82">
        <v>87.5</v>
      </c>
      <c r="J26" s="82">
        <v>87</v>
      </c>
      <c r="K26" s="82">
        <v>86.4</v>
      </c>
      <c r="L26" s="82">
        <v>86.7</v>
      </c>
      <c r="M26" s="82">
        <v>86.1</v>
      </c>
      <c r="N26" s="31">
        <f t="shared" si="0"/>
        <v>86.02499999999999</v>
      </c>
    </row>
    <row r="27" spans="1:14" ht="14.25">
      <c r="A27" s="34">
        <v>2021</v>
      </c>
      <c r="B27" s="82">
        <v>85.4</v>
      </c>
      <c r="C27" s="82">
        <v>83.7</v>
      </c>
      <c r="D27" s="82">
        <v>84.1</v>
      </c>
      <c r="E27" s="82">
        <v>85.5</v>
      </c>
      <c r="F27" s="82">
        <v>86</v>
      </c>
      <c r="G27" s="82">
        <v>84.1</v>
      </c>
      <c r="H27" s="82">
        <v>83.9</v>
      </c>
      <c r="I27" s="82">
        <v>83.5</v>
      </c>
      <c r="J27" s="82">
        <v>83.9</v>
      </c>
      <c r="K27" s="82">
        <v>84</v>
      </c>
      <c r="L27" s="82">
        <v>84.2</v>
      </c>
      <c r="M27" s="82">
        <v>84.4</v>
      </c>
      <c r="N27" s="31">
        <f t="shared" si="0"/>
        <v>84.39166666666667</v>
      </c>
    </row>
    <row r="28" spans="1:14" ht="14.25">
      <c r="A28" s="38">
        <v>2023</v>
      </c>
      <c r="B28" s="40">
        <v>85</v>
      </c>
      <c r="C28" s="40">
        <v>85.2</v>
      </c>
      <c r="D28" s="40">
        <v>85.8</v>
      </c>
      <c r="E28" s="40">
        <v>86.2</v>
      </c>
      <c r="F28" s="40">
        <v>84.9</v>
      </c>
      <c r="G28" s="40">
        <v>83.6</v>
      </c>
      <c r="H28" s="40">
        <v>84.2</v>
      </c>
      <c r="I28" s="40">
        <v>84.1</v>
      </c>
      <c r="J28" s="40">
        <v>85.8</v>
      </c>
      <c r="K28" s="40">
        <v>85.2</v>
      </c>
      <c r="L28" s="40">
        <v>85.3</v>
      </c>
      <c r="M28" s="40">
        <v>84.1</v>
      </c>
      <c r="N28" s="40">
        <f t="shared" si="0"/>
        <v>84.95</v>
      </c>
    </row>
    <row r="29" spans="2:14" ht="14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4.25">
      <c r="B30" s="30"/>
      <c r="C30" s="28" t="s">
        <v>127</v>
      </c>
      <c r="D30" s="30"/>
      <c r="E30" s="30"/>
      <c r="F30" s="30"/>
      <c r="G30" s="29"/>
      <c r="H30" s="29"/>
      <c r="I30" s="29"/>
      <c r="J30" s="29"/>
      <c r="K30" s="29"/>
      <c r="L30" s="29"/>
      <c r="M30" s="29"/>
      <c r="N30" s="29"/>
    </row>
    <row r="32" ht="14.25">
      <c r="I32" s="29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AH30"/>
  <sheetViews>
    <sheetView zoomScale="90" zoomScaleNormal="90" zoomScalePageLayoutView="0" workbookViewId="0" topLeftCell="A1">
      <selection activeCell="L28" sqref="L28"/>
    </sheetView>
  </sheetViews>
  <sheetFormatPr defaultColWidth="9.140625" defaultRowHeight="12.75"/>
  <cols>
    <col min="1" max="1" width="6.7109375" style="28" customWidth="1"/>
    <col min="2" max="16384" width="9.140625" style="28" customWidth="1"/>
  </cols>
  <sheetData>
    <row r="1" ht="15.75">
      <c r="A1" s="36" t="s">
        <v>154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7"/>
      <c r="B4" s="101" t="s">
        <v>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34" ht="14.25">
      <c r="A5" s="33">
        <v>2000</v>
      </c>
      <c r="B5" s="31">
        <v>366.7</v>
      </c>
      <c r="C5" s="31">
        <v>348.2</v>
      </c>
      <c r="D5" s="31">
        <v>372.6</v>
      </c>
      <c r="E5" s="31">
        <v>355.6</v>
      </c>
      <c r="F5" s="31">
        <v>358.3</v>
      </c>
      <c r="G5" s="31">
        <v>337.6</v>
      </c>
      <c r="H5" s="31">
        <v>350.8</v>
      </c>
      <c r="I5" s="31">
        <v>359.9</v>
      </c>
      <c r="J5" s="31">
        <v>327</v>
      </c>
      <c r="K5" s="31">
        <v>328</v>
      </c>
      <c r="L5" s="31">
        <v>318.1</v>
      </c>
      <c r="M5" s="31">
        <v>344.6</v>
      </c>
      <c r="N5" s="31">
        <f>AVERAGE(B5:M5)</f>
        <v>347.28333333333336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25">
      <c r="A6" s="32">
        <v>2001</v>
      </c>
      <c r="B6" s="31">
        <v>350</v>
      </c>
      <c r="C6" s="31">
        <v>326.3</v>
      </c>
      <c r="D6" s="31">
        <v>374</v>
      </c>
      <c r="E6" s="31">
        <v>368.8</v>
      </c>
      <c r="F6" s="31">
        <v>388.5</v>
      </c>
      <c r="G6" s="31">
        <v>369.4</v>
      </c>
      <c r="H6" s="31">
        <v>369.6</v>
      </c>
      <c r="I6" s="31">
        <v>359.1</v>
      </c>
      <c r="J6" s="31">
        <v>353.1</v>
      </c>
      <c r="K6" s="31">
        <v>362.4</v>
      </c>
      <c r="L6" s="31">
        <v>359.8</v>
      </c>
      <c r="M6" s="31">
        <v>383.8</v>
      </c>
      <c r="N6" s="31">
        <f aca="true" t="shared" si="0" ref="N6:N28">AVERAGE(B6:M6)</f>
        <v>363.73333333333335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14.25">
      <c r="A7" s="33">
        <v>2002</v>
      </c>
      <c r="B7" s="31">
        <v>390</v>
      </c>
      <c r="C7" s="31">
        <v>358.3</v>
      </c>
      <c r="D7" s="31">
        <v>396.9</v>
      </c>
      <c r="E7" s="31">
        <v>390.7</v>
      </c>
      <c r="F7" s="31">
        <v>410</v>
      </c>
      <c r="G7" s="31">
        <v>373.1</v>
      </c>
      <c r="H7" s="31">
        <v>370.6</v>
      </c>
      <c r="I7" s="31">
        <v>363.3</v>
      </c>
      <c r="J7" s="31">
        <v>348.7</v>
      </c>
      <c r="K7" s="31">
        <v>363.3</v>
      </c>
      <c r="L7" s="31">
        <v>348.2</v>
      </c>
      <c r="M7" s="31">
        <v>370.8</v>
      </c>
      <c r="N7" s="31">
        <f t="shared" si="0"/>
        <v>373.65833333333336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14.25">
      <c r="A8" s="32">
        <v>2003</v>
      </c>
      <c r="B8" s="31">
        <v>385.9</v>
      </c>
      <c r="C8" s="31">
        <v>351.8</v>
      </c>
      <c r="D8" s="31">
        <v>388.3</v>
      </c>
      <c r="E8" s="31">
        <v>377.6</v>
      </c>
      <c r="F8" s="31">
        <v>395.1</v>
      </c>
      <c r="G8" s="31">
        <v>363.5</v>
      </c>
      <c r="H8" s="31">
        <v>292.9</v>
      </c>
      <c r="I8" s="31">
        <v>283.1</v>
      </c>
      <c r="J8" s="31">
        <v>273.2</v>
      </c>
      <c r="K8" s="31">
        <v>281.1</v>
      </c>
      <c r="L8" s="31">
        <v>315.8</v>
      </c>
      <c r="M8" s="31">
        <v>333.4</v>
      </c>
      <c r="N8" s="31">
        <f t="shared" si="0"/>
        <v>336.80833333333334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14.25">
      <c r="A9" s="33">
        <v>2004</v>
      </c>
      <c r="B9" s="31">
        <v>338.2</v>
      </c>
      <c r="C9" s="31">
        <v>318.4</v>
      </c>
      <c r="D9" s="31">
        <v>354.1</v>
      </c>
      <c r="E9" s="31">
        <v>283.5</v>
      </c>
      <c r="F9" s="31">
        <v>289.1</v>
      </c>
      <c r="G9" s="31">
        <v>359.7</v>
      </c>
      <c r="H9" s="31">
        <v>347.3</v>
      </c>
      <c r="I9" s="31">
        <v>338.1</v>
      </c>
      <c r="J9" s="31">
        <v>321.7</v>
      </c>
      <c r="K9" s="31">
        <v>333</v>
      </c>
      <c r="L9" s="31">
        <v>324.6</v>
      </c>
      <c r="M9" s="31">
        <v>260.8</v>
      </c>
      <c r="N9" s="31">
        <f t="shared" si="0"/>
        <v>322.37499999999994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4.25">
      <c r="A10" s="32">
        <v>2005</v>
      </c>
      <c r="B10" s="31">
        <v>351.8</v>
      </c>
      <c r="C10" s="31">
        <v>321.2</v>
      </c>
      <c r="D10" s="31">
        <v>364.9</v>
      </c>
      <c r="E10" s="31">
        <v>365.5</v>
      </c>
      <c r="F10" s="31">
        <v>387.4</v>
      </c>
      <c r="G10" s="31">
        <v>368.3</v>
      </c>
      <c r="H10" s="31">
        <v>366</v>
      </c>
      <c r="I10" s="31">
        <v>361.1</v>
      </c>
      <c r="J10" s="31">
        <v>342.5</v>
      </c>
      <c r="K10" s="31">
        <v>349.7</v>
      </c>
      <c r="L10" s="31">
        <v>338.1</v>
      </c>
      <c r="M10" s="31">
        <v>354.7</v>
      </c>
      <c r="N10" s="31">
        <f t="shared" si="0"/>
        <v>355.93333333333334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14.25">
      <c r="A11" s="33">
        <v>2006</v>
      </c>
      <c r="B11" s="31">
        <v>367.2</v>
      </c>
      <c r="C11" s="31">
        <v>338.1</v>
      </c>
      <c r="D11" s="31">
        <v>379.5</v>
      </c>
      <c r="E11" s="31">
        <v>372.2</v>
      </c>
      <c r="F11" s="31">
        <v>389.4</v>
      </c>
      <c r="G11" s="31">
        <v>361.3</v>
      </c>
      <c r="H11" s="31">
        <v>360.1</v>
      </c>
      <c r="I11" s="31">
        <v>345.7</v>
      </c>
      <c r="J11" s="31">
        <v>334.6</v>
      </c>
      <c r="K11" s="31">
        <v>339.5</v>
      </c>
      <c r="L11" s="31">
        <v>330.1</v>
      </c>
      <c r="M11" s="31">
        <v>349.1</v>
      </c>
      <c r="N11" s="31">
        <f t="shared" si="0"/>
        <v>355.56666666666666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1:34" ht="14.25">
      <c r="A12" s="33">
        <v>2007</v>
      </c>
      <c r="B12" s="31">
        <v>360.3</v>
      </c>
      <c r="C12" s="31">
        <v>321.7</v>
      </c>
      <c r="D12" s="31">
        <v>363.5</v>
      </c>
      <c r="E12" s="31">
        <v>361.2</v>
      </c>
      <c r="F12" s="31">
        <v>359</v>
      </c>
      <c r="G12" s="31">
        <v>322.7</v>
      </c>
      <c r="H12" s="31">
        <v>359.6</v>
      </c>
      <c r="I12" s="31">
        <v>337.9</v>
      </c>
      <c r="J12" s="31">
        <v>330.6</v>
      </c>
      <c r="K12" s="31">
        <v>334.3</v>
      </c>
      <c r="L12" s="31">
        <v>325.3</v>
      </c>
      <c r="M12" s="31">
        <v>346.6</v>
      </c>
      <c r="N12" s="31">
        <f t="shared" si="0"/>
        <v>343.5583333333334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ht="14.25">
      <c r="A13" s="33">
        <v>2008</v>
      </c>
      <c r="B13" s="31">
        <v>405.5</v>
      </c>
      <c r="C13" s="31">
        <v>329.2</v>
      </c>
      <c r="D13" s="31">
        <v>318.5</v>
      </c>
      <c r="E13" s="31">
        <v>352.1</v>
      </c>
      <c r="F13" s="31">
        <v>287.3</v>
      </c>
      <c r="G13" s="31">
        <v>287.2</v>
      </c>
      <c r="H13" s="31">
        <v>332.4</v>
      </c>
      <c r="I13" s="31">
        <v>325.9</v>
      </c>
      <c r="J13" s="31">
        <v>319.7</v>
      </c>
      <c r="K13" s="31">
        <v>286.1</v>
      </c>
      <c r="L13" s="31">
        <v>307.8</v>
      </c>
      <c r="M13" s="31">
        <v>297</v>
      </c>
      <c r="N13" s="31">
        <f t="shared" si="0"/>
        <v>320.725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ht="14.25">
      <c r="A14" s="32">
        <v>2009</v>
      </c>
      <c r="B14" s="31">
        <v>319.2</v>
      </c>
      <c r="C14" s="31">
        <v>290.5</v>
      </c>
      <c r="D14" s="31">
        <v>330</v>
      </c>
      <c r="E14" s="31">
        <v>326.9</v>
      </c>
      <c r="F14" s="31">
        <v>343.2</v>
      </c>
      <c r="G14" s="31">
        <v>327.5</v>
      </c>
      <c r="H14" s="31">
        <v>331.9</v>
      </c>
      <c r="I14" s="31">
        <v>321.2</v>
      </c>
      <c r="J14" s="31">
        <v>306.4</v>
      </c>
      <c r="K14" s="31">
        <v>312.3</v>
      </c>
      <c r="L14" s="31">
        <v>303.2</v>
      </c>
      <c r="M14" s="31">
        <v>319.1</v>
      </c>
      <c r="N14" s="31">
        <f t="shared" si="0"/>
        <v>319.2833333333333</v>
      </c>
      <c r="O14" s="42"/>
      <c r="P14" s="42"/>
      <c r="Q14" s="42"/>
      <c r="R14" s="73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ht="14.25">
      <c r="A15" s="33">
        <v>2010</v>
      </c>
      <c r="B15" s="31">
        <v>319.4</v>
      </c>
      <c r="C15" s="31">
        <v>287.5</v>
      </c>
      <c r="D15" s="31">
        <v>337</v>
      </c>
      <c r="E15" s="31">
        <v>315.8</v>
      </c>
      <c r="F15" s="31">
        <v>319.2</v>
      </c>
      <c r="G15" s="31">
        <v>305.9</v>
      </c>
      <c r="H15" s="31">
        <v>295.2</v>
      </c>
      <c r="I15" s="31">
        <v>288.9</v>
      </c>
      <c r="J15" s="31">
        <v>275.1</v>
      </c>
      <c r="K15" s="31">
        <v>293.7</v>
      </c>
      <c r="L15" s="31">
        <v>277.7</v>
      </c>
      <c r="M15" s="31">
        <v>296</v>
      </c>
      <c r="N15" s="31">
        <f t="shared" si="0"/>
        <v>300.95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14.25">
      <c r="A16" s="32">
        <v>2011</v>
      </c>
      <c r="B16" s="31">
        <v>297.7</v>
      </c>
      <c r="C16" s="31">
        <v>266.3</v>
      </c>
      <c r="D16" s="31">
        <v>329</v>
      </c>
      <c r="E16" s="31">
        <v>310</v>
      </c>
      <c r="F16" s="31">
        <v>318.2</v>
      </c>
      <c r="G16" s="31">
        <v>288</v>
      </c>
      <c r="H16" s="31">
        <v>298.7</v>
      </c>
      <c r="I16" s="31">
        <v>298.4</v>
      </c>
      <c r="J16" s="31">
        <v>287.6</v>
      </c>
      <c r="K16" s="31">
        <v>294.6</v>
      </c>
      <c r="L16" s="31">
        <v>283.3</v>
      </c>
      <c r="M16" s="31">
        <v>268.6</v>
      </c>
      <c r="N16" s="31">
        <f t="shared" si="0"/>
        <v>295.03333333333336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ht="14.25">
      <c r="A17" s="33">
        <v>2012</v>
      </c>
      <c r="B17" s="31">
        <v>313.1</v>
      </c>
      <c r="C17" s="31">
        <v>297.8</v>
      </c>
      <c r="D17" s="31">
        <v>334.4</v>
      </c>
      <c r="E17" s="31">
        <v>329.5</v>
      </c>
      <c r="F17" s="31">
        <v>331.7</v>
      </c>
      <c r="G17" s="31">
        <v>312.2</v>
      </c>
      <c r="H17" s="31">
        <v>278</v>
      </c>
      <c r="I17" s="31">
        <v>274.2</v>
      </c>
      <c r="J17" s="31">
        <v>266.8</v>
      </c>
      <c r="K17" s="31">
        <v>297.5</v>
      </c>
      <c r="L17" s="31">
        <v>315.4</v>
      </c>
      <c r="M17" s="31">
        <v>350.6</v>
      </c>
      <c r="N17" s="31">
        <f t="shared" si="0"/>
        <v>308.43333333333334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4.25">
      <c r="A18" s="32">
        <v>2013</v>
      </c>
      <c r="B18" s="31">
        <v>328.8</v>
      </c>
      <c r="C18" s="31">
        <v>289.4</v>
      </c>
      <c r="D18" s="31">
        <v>330.8</v>
      </c>
      <c r="E18" s="31">
        <v>328.2</v>
      </c>
      <c r="F18" s="31">
        <v>348.8</v>
      </c>
      <c r="G18" s="31">
        <v>316.3</v>
      </c>
      <c r="H18" s="31">
        <v>298.8</v>
      </c>
      <c r="I18" s="31">
        <v>305.7</v>
      </c>
      <c r="J18" s="31">
        <v>280.9</v>
      </c>
      <c r="K18" s="31">
        <v>288</v>
      </c>
      <c r="L18" s="31">
        <v>280.9</v>
      </c>
      <c r="M18" s="31">
        <v>289.5</v>
      </c>
      <c r="N18" s="31">
        <f t="shared" si="0"/>
        <v>307.175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14.25">
      <c r="A19" s="33">
        <v>2014</v>
      </c>
      <c r="B19" s="31">
        <v>299.1</v>
      </c>
      <c r="C19" s="31">
        <v>278</v>
      </c>
      <c r="D19" s="31">
        <v>307.6</v>
      </c>
      <c r="E19" s="31">
        <v>301.8</v>
      </c>
      <c r="F19" s="31">
        <v>319</v>
      </c>
      <c r="G19" s="31">
        <v>290.4</v>
      </c>
      <c r="H19" s="31">
        <v>279.5</v>
      </c>
      <c r="I19" s="31">
        <v>277.9</v>
      </c>
      <c r="J19" s="31">
        <v>270.5</v>
      </c>
      <c r="K19" s="31">
        <v>279.7</v>
      </c>
      <c r="L19" s="31">
        <v>276.7</v>
      </c>
      <c r="M19" s="31">
        <v>301.8</v>
      </c>
      <c r="N19" s="31">
        <f t="shared" si="0"/>
        <v>290.1666666666667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4.25">
      <c r="A20" s="32">
        <v>2015</v>
      </c>
      <c r="B20" s="31">
        <v>308.6</v>
      </c>
      <c r="C20" s="31">
        <v>278.4</v>
      </c>
      <c r="D20" s="31">
        <v>308.4</v>
      </c>
      <c r="E20" s="31">
        <v>297.1</v>
      </c>
      <c r="F20" s="31">
        <v>309.7</v>
      </c>
      <c r="G20" s="31">
        <v>291.2</v>
      </c>
      <c r="H20" s="31">
        <v>287.2</v>
      </c>
      <c r="I20" s="31">
        <v>279.1</v>
      </c>
      <c r="J20" s="31">
        <v>292.4</v>
      </c>
      <c r="K20" s="31">
        <v>288.6</v>
      </c>
      <c r="L20" s="31">
        <v>277.7</v>
      </c>
      <c r="M20" s="31">
        <v>289.6</v>
      </c>
      <c r="N20" s="31">
        <f t="shared" si="0"/>
        <v>292.3333333333333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4.25">
      <c r="A21" s="33">
        <v>2016</v>
      </c>
      <c r="B21" s="31">
        <v>293.6</v>
      </c>
      <c r="C21" s="31">
        <v>275.1</v>
      </c>
      <c r="D21" s="31">
        <v>299.7</v>
      </c>
      <c r="E21" s="31">
        <v>297.9</v>
      </c>
      <c r="F21" s="31">
        <v>312.8</v>
      </c>
      <c r="G21" s="31">
        <v>288.1</v>
      </c>
      <c r="H21" s="31">
        <v>290.5</v>
      </c>
      <c r="I21" s="31">
        <v>281.3</v>
      </c>
      <c r="J21" s="31">
        <v>273.1</v>
      </c>
      <c r="K21" s="31">
        <v>283.9</v>
      </c>
      <c r="L21" s="31">
        <v>249.8</v>
      </c>
      <c r="M21" s="31">
        <v>281.2</v>
      </c>
      <c r="N21" s="31">
        <f t="shared" si="0"/>
        <v>285.58333333333337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4.25">
      <c r="A22" s="32">
        <v>2017</v>
      </c>
      <c r="B22" s="31">
        <v>295.1</v>
      </c>
      <c r="C22" s="31">
        <v>273.8</v>
      </c>
      <c r="D22" s="31">
        <v>307.5</v>
      </c>
      <c r="E22" s="31">
        <v>301.7</v>
      </c>
      <c r="F22" s="31">
        <v>313</v>
      </c>
      <c r="G22" s="31">
        <v>292.4</v>
      </c>
      <c r="H22" s="31">
        <v>292.3</v>
      </c>
      <c r="I22" s="31">
        <v>285.4</v>
      </c>
      <c r="J22" s="31">
        <v>271.2</v>
      </c>
      <c r="K22" s="31">
        <v>278.3</v>
      </c>
      <c r="L22" s="31">
        <v>267.3</v>
      </c>
      <c r="M22" s="31">
        <v>229.4</v>
      </c>
      <c r="N22" s="31">
        <f t="shared" si="0"/>
        <v>283.95000000000005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4.25">
      <c r="A23" s="32">
        <v>2018</v>
      </c>
      <c r="B23" s="31">
        <v>234.5</v>
      </c>
      <c r="C23" s="31">
        <v>218.8</v>
      </c>
      <c r="D23" s="31">
        <v>247.9</v>
      </c>
      <c r="E23" s="31">
        <v>239.9</v>
      </c>
      <c r="F23" s="31">
        <v>260.3</v>
      </c>
      <c r="G23" s="31">
        <v>238.663728</v>
      </c>
      <c r="H23" s="31">
        <v>237.6</v>
      </c>
      <c r="I23" s="31">
        <v>239.6</v>
      </c>
      <c r="J23" s="31">
        <v>231.1</v>
      </c>
      <c r="K23" s="31">
        <v>240.8</v>
      </c>
      <c r="L23" s="31">
        <v>231</v>
      </c>
      <c r="M23" s="31">
        <v>241.2</v>
      </c>
      <c r="N23" s="31">
        <f t="shared" si="0"/>
        <v>238.4469773333333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4.25">
      <c r="A24" s="32">
        <v>2019</v>
      </c>
      <c r="B24" s="31">
        <v>240.902992</v>
      </c>
      <c r="C24" s="31">
        <v>230.1</v>
      </c>
      <c r="D24" s="31">
        <v>255.9</v>
      </c>
      <c r="E24" s="31">
        <v>248.5</v>
      </c>
      <c r="F24" s="31">
        <v>258.3</v>
      </c>
      <c r="G24" s="31">
        <v>244.6</v>
      </c>
      <c r="H24" s="31">
        <v>237.7</v>
      </c>
      <c r="I24" s="31">
        <v>242.013159</v>
      </c>
      <c r="J24" s="31">
        <v>231.026</v>
      </c>
      <c r="K24" s="31">
        <v>211.8</v>
      </c>
      <c r="L24" s="31">
        <v>199.1</v>
      </c>
      <c r="M24" s="31">
        <v>246.6</v>
      </c>
      <c r="N24" s="31">
        <f t="shared" si="0"/>
        <v>237.21184591666668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4.25">
      <c r="A25" s="34">
        <v>2020</v>
      </c>
      <c r="B25" s="82">
        <v>251.3</v>
      </c>
      <c r="C25" s="82">
        <v>237.8</v>
      </c>
      <c r="D25" s="82">
        <v>257.4</v>
      </c>
      <c r="E25" s="82">
        <v>252.8</v>
      </c>
      <c r="F25" s="82">
        <v>255.7</v>
      </c>
      <c r="G25" s="82">
        <v>209.3</v>
      </c>
      <c r="H25" s="82">
        <v>184.9</v>
      </c>
      <c r="I25" s="82">
        <v>186</v>
      </c>
      <c r="J25" s="82">
        <v>199.8</v>
      </c>
      <c r="K25" s="82">
        <v>187.5</v>
      </c>
      <c r="L25" s="82">
        <v>180.1</v>
      </c>
      <c r="M25" s="82">
        <v>200.1</v>
      </c>
      <c r="N25" s="31">
        <f t="shared" si="0"/>
        <v>216.89166666666665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14" ht="14.25">
      <c r="A26" s="34">
        <v>2021</v>
      </c>
      <c r="B26" s="82">
        <v>210.9</v>
      </c>
      <c r="C26" s="82">
        <v>210.9</v>
      </c>
      <c r="D26" s="82">
        <v>225.8</v>
      </c>
      <c r="E26" s="82">
        <v>181.1</v>
      </c>
      <c r="F26" s="82">
        <v>202</v>
      </c>
      <c r="G26" s="82">
        <v>211.4</v>
      </c>
      <c r="H26" s="82">
        <v>226.9</v>
      </c>
      <c r="I26" s="82">
        <v>219.5</v>
      </c>
      <c r="J26" s="82">
        <v>219.7</v>
      </c>
      <c r="K26" s="82">
        <v>219.5</v>
      </c>
      <c r="L26" s="82">
        <v>221.1</v>
      </c>
      <c r="M26" s="82">
        <v>228.2</v>
      </c>
      <c r="N26" s="31">
        <f t="shared" si="0"/>
        <v>214.75</v>
      </c>
    </row>
    <row r="27" spans="1:14" ht="14.25">
      <c r="A27" s="34">
        <v>2022</v>
      </c>
      <c r="B27" s="31">
        <v>224.3</v>
      </c>
      <c r="C27" s="31">
        <v>208.1</v>
      </c>
      <c r="D27" s="31">
        <v>227.5</v>
      </c>
      <c r="E27" s="31">
        <v>224.5</v>
      </c>
      <c r="F27" s="31">
        <v>242.1</v>
      </c>
      <c r="G27" s="31">
        <v>209.2</v>
      </c>
      <c r="H27" s="31">
        <v>212</v>
      </c>
      <c r="I27" s="31">
        <v>214.9</v>
      </c>
      <c r="J27" s="31">
        <v>210.2</v>
      </c>
      <c r="K27" s="31">
        <v>213.1</v>
      </c>
      <c r="L27" s="31">
        <v>208.7</v>
      </c>
      <c r="M27" s="31">
        <v>215.8</v>
      </c>
      <c r="N27" s="31">
        <f t="shared" si="0"/>
        <v>217.53333333333333</v>
      </c>
    </row>
    <row r="28" spans="1:14" ht="14.25">
      <c r="A28" s="38">
        <v>2023</v>
      </c>
      <c r="B28" s="40">
        <v>221.5</v>
      </c>
      <c r="C28" s="40">
        <v>212.2</v>
      </c>
      <c r="D28" s="40">
        <v>232</v>
      </c>
      <c r="E28" s="40">
        <v>226.3</v>
      </c>
      <c r="F28" s="40">
        <v>236.7</v>
      </c>
      <c r="G28" s="40">
        <v>222</v>
      </c>
      <c r="H28" s="40">
        <v>220.2</v>
      </c>
      <c r="I28" s="40">
        <v>221.7</v>
      </c>
      <c r="J28" s="40">
        <v>216.7</v>
      </c>
      <c r="K28" s="40">
        <v>221.4</v>
      </c>
      <c r="L28" s="40">
        <v>217.9</v>
      </c>
      <c r="M28" s="40">
        <v>215.4</v>
      </c>
      <c r="N28" s="40">
        <f t="shared" si="0"/>
        <v>222.00000000000003</v>
      </c>
    </row>
    <row r="29" spans="2:14" ht="14.25">
      <c r="B29" s="30"/>
      <c r="C29" s="28" t="s">
        <v>127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4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AH30"/>
  <sheetViews>
    <sheetView zoomScale="90" zoomScaleNormal="90" zoomScalePageLayoutView="0" workbookViewId="0" topLeftCell="A1">
      <selection activeCell="L28" sqref="L28"/>
    </sheetView>
  </sheetViews>
  <sheetFormatPr defaultColWidth="9.140625" defaultRowHeight="12.75"/>
  <cols>
    <col min="1" max="1" width="6.7109375" style="28" customWidth="1"/>
    <col min="2" max="16384" width="9.140625" style="28" customWidth="1"/>
  </cols>
  <sheetData>
    <row r="1" ht="15.75">
      <c r="A1" s="36" t="s">
        <v>155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7"/>
      <c r="B4" s="101" t="s">
        <v>27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34" ht="14.25">
      <c r="A5" s="33">
        <v>2000</v>
      </c>
      <c r="B5" s="31">
        <v>32.6336118293954</v>
      </c>
      <c r="C5" s="31">
        <v>32.925944056909</v>
      </c>
      <c r="D5" s="31">
        <v>31.964229683284</v>
      </c>
      <c r="E5" s="31">
        <v>32.1869032137095</v>
      </c>
      <c r="F5" s="31">
        <v>31.6048065690661</v>
      </c>
      <c r="G5" s="31">
        <v>30.2926746229999</v>
      </c>
      <c r="H5" s="31">
        <v>28.9124403023115</v>
      </c>
      <c r="I5" s="31">
        <v>30.3793978069657</v>
      </c>
      <c r="J5" s="31">
        <v>25.9644887910996</v>
      </c>
      <c r="K5" s="31">
        <v>24.9747750774231</v>
      </c>
      <c r="L5" s="31">
        <v>25.1578629007131</v>
      </c>
      <c r="M5" s="31">
        <v>27.6614675678114</v>
      </c>
      <c r="N5" s="31">
        <f>AVERAGE(B5:M5)</f>
        <v>29.554883535140693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25">
      <c r="A6" s="32">
        <v>2001</v>
      </c>
      <c r="B6" s="31">
        <v>25.2676553458861</v>
      </c>
      <c r="C6" s="31">
        <v>27.3005005443446</v>
      </c>
      <c r="D6" s="31">
        <v>27.950902270147</v>
      </c>
      <c r="E6" s="31">
        <v>28.238583139688</v>
      </c>
      <c r="F6" s="31">
        <v>26.3686980170897</v>
      </c>
      <c r="G6" s="31">
        <v>23.296013105623</v>
      </c>
      <c r="H6" s="31">
        <v>22.3825685505691</v>
      </c>
      <c r="I6" s="31">
        <v>23.3240947488199</v>
      </c>
      <c r="J6" s="31">
        <v>26.6918613849986</v>
      </c>
      <c r="K6" s="31">
        <v>25.4372110136469</v>
      </c>
      <c r="L6" s="31">
        <v>24.846696984517</v>
      </c>
      <c r="M6" s="31">
        <v>24.6241364561393</v>
      </c>
      <c r="N6" s="31">
        <f aca="true" t="shared" si="0" ref="N6:N28">AVERAGE(B6:M6)</f>
        <v>25.477410130122426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14.25">
      <c r="A7" s="33">
        <v>2002</v>
      </c>
      <c r="B7" s="31">
        <v>27.3566057250201</v>
      </c>
      <c r="C7" s="31">
        <v>24.3158774205306</v>
      </c>
      <c r="D7" s="31">
        <v>25.1862358580293</v>
      </c>
      <c r="E7" s="31">
        <v>25.0866910837714</v>
      </c>
      <c r="F7" s="31">
        <v>23.628273273682</v>
      </c>
      <c r="G7" s="31">
        <v>22.901427182998</v>
      </c>
      <c r="H7" s="31">
        <v>25.9139105725812</v>
      </c>
      <c r="I7" s="31">
        <v>26.722431877995</v>
      </c>
      <c r="J7" s="31">
        <v>24.9297554630635</v>
      </c>
      <c r="K7" s="31">
        <v>24.7188743108736</v>
      </c>
      <c r="L7" s="31">
        <v>26.3632100177654</v>
      </c>
      <c r="M7" s="31">
        <v>27.1914760184443</v>
      </c>
      <c r="N7" s="31">
        <f t="shared" si="0"/>
        <v>25.359564067062863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14.25">
      <c r="A8" s="32">
        <v>2003</v>
      </c>
      <c r="B8" s="31">
        <v>26.3798623062789</v>
      </c>
      <c r="C8" s="31">
        <v>25.350036353631</v>
      </c>
      <c r="D8" s="31">
        <v>26.6544200486598</v>
      </c>
      <c r="E8" s="31">
        <v>25.6287190908527</v>
      </c>
      <c r="F8" s="31">
        <v>25.7646760547546</v>
      </c>
      <c r="G8" s="31">
        <v>25.4193652082135</v>
      </c>
      <c r="H8" s="31">
        <v>28.7641557381386</v>
      </c>
      <c r="I8" s="31">
        <v>28.0822057680467</v>
      </c>
      <c r="J8" s="31">
        <v>27.1508020391146</v>
      </c>
      <c r="K8" s="31">
        <v>26.0234328283262</v>
      </c>
      <c r="L8" s="31">
        <v>21.968275679872</v>
      </c>
      <c r="M8" s="31">
        <v>22.903346496987</v>
      </c>
      <c r="N8" s="31">
        <f t="shared" si="0"/>
        <v>25.840774801072968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14.25">
      <c r="A9" s="33">
        <v>2004</v>
      </c>
      <c r="B9" s="31">
        <v>22.3513468296396</v>
      </c>
      <c r="C9" s="31">
        <v>22.6161773907544</v>
      </c>
      <c r="D9" s="31">
        <v>27.2934999728968</v>
      </c>
      <c r="E9" s="31">
        <v>32.4637536179049</v>
      </c>
      <c r="F9" s="31">
        <v>31.4547418701751</v>
      </c>
      <c r="G9" s="31">
        <v>23.172070180845</v>
      </c>
      <c r="H9" s="31">
        <v>23.349686340732</v>
      </c>
      <c r="I9" s="31">
        <v>21.8672604385673</v>
      </c>
      <c r="J9" s="31">
        <v>24.0707209363789</v>
      </c>
      <c r="K9" s="31">
        <v>21.5425695775928</v>
      </c>
      <c r="L9" s="31">
        <v>21.9810350703778</v>
      </c>
      <c r="M9" s="31">
        <v>26.4937113036578</v>
      </c>
      <c r="N9" s="31">
        <f t="shared" si="0"/>
        <v>24.888047794126866</v>
      </c>
      <c r="O9" s="42"/>
      <c r="P9" s="42"/>
      <c r="Q9" s="7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4.25">
      <c r="A10" s="32">
        <v>2005</v>
      </c>
      <c r="B10" s="31">
        <v>22.573310404351</v>
      </c>
      <c r="C10" s="31">
        <v>26.9950925711982</v>
      </c>
      <c r="D10" s="31">
        <v>21.934403588163</v>
      </c>
      <c r="E10" s="31">
        <v>24.8842269341605</v>
      </c>
      <c r="F10" s="31">
        <v>22.2053735749912</v>
      </c>
      <c r="G10" s="31">
        <v>22.6136481321471</v>
      </c>
      <c r="H10" s="31">
        <v>22.1072688269838</v>
      </c>
      <c r="I10" s="31">
        <v>25.4824839826886</v>
      </c>
      <c r="J10" s="31">
        <v>23.9305462129286</v>
      </c>
      <c r="K10" s="31">
        <v>24.0650185298647</v>
      </c>
      <c r="L10" s="31">
        <v>24.0713277997088</v>
      </c>
      <c r="M10" s="31">
        <v>24.5548350324079</v>
      </c>
      <c r="N10" s="31">
        <f t="shared" si="0"/>
        <v>23.784794632466113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14.25">
      <c r="A11" s="33">
        <v>2006</v>
      </c>
      <c r="B11" s="31">
        <v>24.2810363802549</v>
      </c>
      <c r="C11" s="31">
        <v>24.3276376471751</v>
      </c>
      <c r="D11" s="31">
        <v>24.5835468139604</v>
      </c>
      <c r="E11" s="31">
        <v>24.5939914922894</v>
      </c>
      <c r="F11" s="31">
        <v>24.678121593303</v>
      </c>
      <c r="G11" s="31">
        <v>24.0738983043362</v>
      </c>
      <c r="H11" s="31">
        <v>23.9789704123171</v>
      </c>
      <c r="I11" s="31">
        <v>25.4156607808088</v>
      </c>
      <c r="J11" s="31">
        <v>26.5626414142117</v>
      </c>
      <c r="K11" s="31">
        <v>25.1705041611132</v>
      </c>
      <c r="L11" s="31">
        <v>25.2497642657989</v>
      </c>
      <c r="M11" s="31">
        <v>25.4145902084389</v>
      </c>
      <c r="N11" s="31">
        <f t="shared" si="0"/>
        <v>24.860863622833964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1:34" ht="14.25">
      <c r="A12" s="33">
        <v>2007</v>
      </c>
      <c r="B12" s="31">
        <v>24.4813992173514</v>
      </c>
      <c r="C12" s="31">
        <v>25.186152836371</v>
      </c>
      <c r="D12" s="31">
        <v>25.3766080973295</v>
      </c>
      <c r="E12" s="31">
        <v>25.5086578026543</v>
      </c>
      <c r="F12" s="31">
        <v>25.2044892163667</v>
      </c>
      <c r="G12" s="31">
        <v>24.5775847013904</v>
      </c>
      <c r="H12" s="31">
        <v>24.5025625650057</v>
      </c>
      <c r="I12" s="31">
        <v>27.1007605483171</v>
      </c>
      <c r="J12" s="31">
        <v>25.325662626773</v>
      </c>
      <c r="K12" s="31">
        <v>26.1885226213661</v>
      </c>
      <c r="L12" s="31">
        <v>25.7926443136706</v>
      </c>
      <c r="M12" s="31">
        <v>25.1995094639931</v>
      </c>
      <c r="N12" s="31">
        <f t="shared" si="0"/>
        <v>25.370379500882407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ht="14.25">
      <c r="A13" s="33">
        <v>2008</v>
      </c>
      <c r="B13" s="31">
        <v>27.595328479053</v>
      </c>
      <c r="C13" s="31">
        <v>23.9351189422108</v>
      </c>
      <c r="D13" s="31">
        <v>24.7213910291604</v>
      </c>
      <c r="E13" s="31">
        <v>24.3813881457129</v>
      </c>
      <c r="F13" s="31">
        <v>23.3490452496564</v>
      </c>
      <c r="G13" s="31">
        <v>23.627473775423</v>
      </c>
      <c r="H13" s="31">
        <v>23.9278563555671</v>
      </c>
      <c r="I13" s="31">
        <v>24.5205034362871</v>
      </c>
      <c r="J13" s="31">
        <v>25.5118127892584</v>
      </c>
      <c r="K13" s="31">
        <v>24.1016065504166</v>
      </c>
      <c r="L13" s="31">
        <v>23.6767809980241</v>
      </c>
      <c r="M13" s="31">
        <v>24.2378485639493</v>
      </c>
      <c r="N13" s="31">
        <f t="shared" si="0"/>
        <v>24.465512859559922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ht="14.25">
      <c r="A14" s="32">
        <v>2009</v>
      </c>
      <c r="B14" s="31">
        <v>22.9299901304279</v>
      </c>
      <c r="C14" s="31">
        <v>22.7288348145454</v>
      </c>
      <c r="D14" s="31">
        <v>23.4568057841435</v>
      </c>
      <c r="E14" s="31">
        <v>23.1069734139229</v>
      </c>
      <c r="F14" s="31">
        <v>22.9794248476942</v>
      </c>
      <c r="G14" s="31">
        <v>22.886060855049</v>
      </c>
      <c r="H14" s="31">
        <v>22.7283527426868</v>
      </c>
      <c r="I14" s="31">
        <v>23.3068201758138</v>
      </c>
      <c r="J14" s="31">
        <v>23.4566616724698</v>
      </c>
      <c r="K14" s="31">
        <v>23.3748375841736</v>
      </c>
      <c r="L14" s="31">
        <v>23.1776858315719</v>
      </c>
      <c r="M14" s="31">
        <v>22.9466016851985</v>
      </c>
      <c r="N14" s="31">
        <f t="shared" si="0"/>
        <v>23.089920794808112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ht="14.25">
      <c r="A15" s="33">
        <v>2010</v>
      </c>
      <c r="B15" s="31">
        <v>22.5596916816521</v>
      </c>
      <c r="C15" s="31">
        <v>22.8314818734079</v>
      </c>
      <c r="D15" s="31">
        <v>22.8501932832418</v>
      </c>
      <c r="E15" s="31">
        <v>21.7283334866495</v>
      </c>
      <c r="F15" s="31">
        <v>22.6184771564349</v>
      </c>
      <c r="G15" s="31">
        <v>23.152897382264</v>
      </c>
      <c r="H15" s="31">
        <v>23.1059993724701</v>
      </c>
      <c r="I15" s="31">
        <v>22.8582258553109</v>
      </c>
      <c r="J15" s="31">
        <v>21.9740105477471</v>
      </c>
      <c r="K15" s="31">
        <v>21.6155328874894</v>
      </c>
      <c r="L15" s="31">
        <v>22.6509101780489</v>
      </c>
      <c r="M15" s="31">
        <v>22.6339962456913</v>
      </c>
      <c r="N15" s="31">
        <f t="shared" si="0"/>
        <v>22.548312495867325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14.25">
      <c r="A16" s="32">
        <v>2011</v>
      </c>
      <c r="B16" s="31">
        <v>23.90153771414</v>
      </c>
      <c r="C16" s="31">
        <v>21.9183163659363</v>
      </c>
      <c r="D16" s="31">
        <v>23.1185578807742</v>
      </c>
      <c r="E16" s="31">
        <v>23.8812443587686</v>
      </c>
      <c r="F16" s="31">
        <v>25.8144294288259</v>
      </c>
      <c r="G16" s="31">
        <v>22.4378060302979</v>
      </c>
      <c r="H16" s="31">
        <v>21.3357139351989</v>
      </c>
      <c r="I16" s="31">
        <v>21.1278027628756</v>
      </c>
      <c r="J16" s="31">
        <v>22.0005846402927</v>
      </c>
      <c r="K16" s="31">
        <v>20.882857343783</v>
      </c>
      <c r="L16" s="31">
        <v>21.0635189298376</v>
      </c>
      <c r="M16" s="31">
        <v>19.6731904111109</v>
      </c>
      <c r="N16" s="31">
        <f t="shared" si="0"/>
        <v>22.262963316820134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ht="14.25">
      <c r="A17" s="33">
        <v>2012</v>
      </c>
      <c r="B17" s="31">
        <v>20.5686097230958</v>
      </c>
      <c r="C17" s="31">
        <v>20.2624014876723</v>
      </c>
      <c r="D17" s="31">
        <v>21.4673083602068</v>
      </c>
      <c r="E17" s="31">
        <v>21.3544991472801</v>
      </c>
      <c r="F17" s="31">
        <v>20.8079134016523</v>
      </c>
      <c r="G17" s="31">
        <v>22.0721915394918</v>
      </c>
      <c r="H17" s="31">
        <v>22.0764654210437</v>
      </c>
      <c r="I17" s="31">
        <v>21.2979940694003</v>
      </c>
      <c r="J17" s="31">
        <v>22.4232513961953</v>
      </c>
      <c r="K17" s="31">
        <v>24.485286742226</v>
      </c>
      <c r="L17" s="31">
        <v>24.0894703949562</v>
      </c>
      <c r="M17" s="31">
        <v>24.2839575211771</v>
      </c>
      <c r="N17" s="31">
        <f t="shared" si="0"/>
        <v>22.099112433699805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4.25">
      <c r="A18" s="32">
        <v>2013</v>
      </c>
      <c r="B18" s="31">
        <v>21.4512598546079</v>
      </c>
      <c r="C18" s="31">
        <v>21.1972061935746</v>
      </c>
      <c r="D18" s="31">
        <v>23.0245540275433</v>
      </c>
      <c r="E18" s="31">
        <v>23.1657732811846</v>
      </c>
      <c r="F18" s="31">
        <v>22.2410628368325</v>
      </c>
      <c r="G18" s="31">
        <v>22.3792207377465</v>
      </c>
      <c r="H18" s="31">
        <v>22.1072977161949</v>
      </c>
      <c r="I18" s="31">
        <v>21.588692670734</v>
      </c>
      <c r="J18" s="31">
        <v>21.6156633828585</v>
      </c>
      <c r="K18" s="31">
        <v>21.6789297095541</v>
      </c>
      <c r="L18" s="31">
        <v>21.5094784407396</v>
      </c>
      <c r="M18" s="31">
        <v>22.539407736989</v>
      </c>
      <c r="N18" s="31">
        <f t="shared" si="0"/>
        <v>22.04154554904662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14.25">
      <c r="A19" s="33">
        <v>2014</v>
      </c>
      <c r="B19" s="31">
        <v>22.6234577291606</v>
      </c>
      <c r="C19" s="31">
        <v>21.4384892196086</v>
      </c>
      <c r="D19" s="31">
        <v>21.2408453855358</v>
      </c>
      <c r="E19" s="31">
        <v>21.2413362884963</v>
      </c>
      <c r="F19" s="31">
        <v>20.7027741115046</v>
      </c>
      <c r="G19" s="31">
        <v>20.9058032902404</v>
      </c>
      <c r="H19" s="31">
        <v>19.68709543239</v>
      </c>
      <c r="I19" s="31">
        <v>19.083617750541</v>
      </c>
      <c r="J19" s="31">
        <v>18.4185821565974</v>
      </c>
      <c r="K19" s="31">
        <v>19.7154282140362</v>
      </c>
      <c r="L19" s="31">
        <v>19.1251702553137</v>
      </c>
      <c r="M19" s="31">
        <v>18.0793603587002</v>
      </c>
      <c r="N19" s="31">
        <f t="shared" si="0"/>
        <v>20.188496682677066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4.25">
      <c r="A20" s="32">
        <v>2015</v>
      </c>
      <c r="B20" s="31">
        <v>18.2711677444868</v>
      </c>
      <c r="C20" s="31">
        <v>17.7234546310504</v>
      </c>
      <c r="D20" s="31">
        <v>19.7736203228114</v>
      </c>
      <c r="E20" s="31">
        <v>19.9048977750945</v>
      </c>
      <c r="F20" s="31">
        <v>20.8322553689407</v>
      </c>
      <c r="G20" s="31">
        <v>20.3016621327043</v>
      </c>
      <c r="H20" s="31">
        <v>19.9810869828199</v>
      </c>
      <c r="I20" s="31">
        <v>19.5619162337565</v>
      </c>
      <c r="J20" s="31">
        <v>18.7380168051493</v>
      </c>
      <c r="K20" s="31">
        <v>17.4762653045433</v>
      </c>
      <c r="L20" s="31">
        <v>18.6079628506636</v>
      </c>
      <c r="M20" s="31">
        <v>18.3874866296273</v>
      </c>
      <c r="N20" s="31">
        <f t="shared" si="0"/>
        <v>19.129982731804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4.25">
      <c r="A21" s="33">
        <v>2016</v>
      </c>
      <c r="B21" s="31">
        <v>17.2217813220699</v>
      </c>
      <c r="C21" s="31">
        <v>17.1766108556268</v>
      </c>
      <c r="D21" s="31">
        <v>16.9700412607273</v>
      </c>
      <c r="E21" s="31">
        <v>17.0708973402971</v>
      </c>
      <c r="F21" s="31">
        <v>17.1336969282388</v>
      </c>
      <c r="G21" s="31">
        <v>17.4828046770166</v>
      </c>
      <c r="H21" s="31">
        <v>17.2286176481868</v>
      </c>
      <c r="I21" s="31">
        <v>18.73223254735</v>
      </c>
      <c r="J21" s="31">
        <v>18.2000073810326</v>
      </c>
      <c r="K21" s="31">
        <v>16.784368702647</v>
      </c>
      <c r="L21" s="31">
        <v>17.2946208251449</v>
      </c>
      <c r="M21" s="31">
        <v>18.2584565479712</v>
      </c>
      <c r="N21" s="31">
        <f t="shared" si="0"/>
        <v>17.46284466969242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4.25">
      <c r="A22" s="32">
        <v>2017</v>
      </c>
      <c r="B22" s="31">
        <v>16.9390776103166</v>
      </c>
      <c r="C22" s="31">
        <v>17.0095892951232</v>
      </c>
      <c r="D22" s="31">
        <v>16.5702237969145</v>
      </c>
      <c r="E22" s="31">
        <v>16.3735119777957</v>
      </c>
      <c r="F22" s="31">
        <v>18.0342851685193</v>
      </c>
      <c r="G22" s="31">
        <v>16.4559976303363</v>
      </c>
      <c r="H22" s="31">
        <v>17.1</v>
      </c>
      <c r="I22" s="31">
        <v>17.0981829474614</v>
      </c>
      <c r="J22" s="31">
        <v>16.7777656550722</v>
      </c>
      <c r="K22" s="31">
        <v>18.1436345937343</v>
      </c>
      <c r="L22" s="31">
        <v>17.984474445254</v>
      </c>
      <c r="M22" s="31">
        <v>13.8119889628432</v>
      </c>
      <c r="N22" s="31">
        <f t="shared" si="0"/>
        <v>16.858227673614227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4.25">
      <c r="A23" s="32">
        <v>2018</v>
      </c>
      <c r="B23" s="31">
        <v>13.7680348016277</v>
      </c>
      <c r="C23" s="31">
        <v>13.6302411249396</v>
      </c>
      <c r="D23" s="31">
        <v>15.3503707821354</v>
      </c>
      <c r="E23" s="31">
        <v>14.3168457736498</v>
      </c>
      <c r="F23" s="31">
        <v>15.5515471318355</v>
      </c>
      <c r="G23" s="31">
        <v>13.811630444751</v>
      </c>
      <c r="H23" s="31">
        <v>14.3</v>
      </c>
      <c r="I23" s="31">
        <v>14.1</v>
      </c>
      <c r="J23" s="31">
        <v>15.8</v>
      </c>
      <c r="K23" s="31">
        <v>14.6</v>
      </c>
      <c r="L23" s="31">
        <v>14.9</v>
      </c>
      <c r="M23" s="31">
        <v>15.3</v>
      </c>
      <c r="N23" s="31">
        <f t="shared" si="0"/>
        <v>14.619055838244918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4.25">
      <c r="A24" s="32">
        <v>2019</v>
      </c>
      <c r="B24" s="31">
        <v>15.631685224227</v>
      </c>
      <c r="C24" s="31">
        <v>15.6</v>
      </c>
      <c r="D24" s="31">
        <v>15.4</v>
      </c>
      <c r="E24" s="31">
        <v>15</v>
      </c>
      <c r="F24" s="31">
        <v>14.2</v>
      </c>
      <c r="G24" s="31">
        <v>14.5</v>
      </c>
      <c r="H24" s="31">
        <v>14</v>
      </c>
      <c r="I24" s="31">
        <v>14.6</v>
      </c>
      <c r="J24" s="31">
        <v>16.2</v>
      </c>
      <c r="K24" s="31">
        <v>14.5</v>
      </c>
      <c r="L24" s="31">
        <v>15.1</v>
      </c>
      <c r="M24" s="31">
        <v>16.1</v>
      </c>
      <c r="N24" s="31">
        <f t="shared" si="0"/>
        <v>15.069307102018916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4.25">
      <c r="A25" s="34">
        <v>2020</v>
      </c>
      <c r="B25" s="82">
        <v>14.4</v>
      </c>
      <c r="C25" s="82">
        <v>14</v>
      </c>
      <c r="D25" s="82">
        <v>14.7</v>
      </c>
      <c r="E25" s="82">
        <v>14.5</v>
      </c>
      <c r="F25" s="82">
        <v>14.3</v>
      </c>
      <c r="G25" s="82">
        <v>16.2</v>
      </c>
      <c r="H25" s="82">
        <v>15.3</v>
      </c>
      <c r="I25" s="82">
        <v>13.8</v>
      </c>
      <c r="J25" s="82">
        <v>13.8</v>
      </c>
      <c r="K25" s="82">
        <v>14.7</v>
      </c>
      <c r="L25" s="82">
        <v>14.4</v>
      </c>
      <c r="M25" s="82">
        <v>14.1</v>
      </c>
      <c r="N25" s="31">
        <f t="shared" si="0"/>
        <v>14.516666666666666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14" ht="14.25">
      <c r="A26" s="34">
        <v>2021</v>
      </c>
      <c r="B26" s="82">
        <v>15</v>
      </c>
      <c r="C26" s="82">
        <v>16.5</v>
      </c>
      <c r="D26" s="82">
        <v>15.3</v>
      </c>
      <c r="E26" s="82">
        <v>14.4</v>
      </c>
      <c r="F26" s="82">
        <v>14.2</v>
      </c>
      <c r="G26" s="82">
        <v>13.2</v>
      </c>
      <c r="H26" s="82">
        <v>12.8</v>
      </c>
      <c r="I26" s="82">
        <v>12.5</v>
      </c>
      <c r="J26" s="82">
        <v>13</v>
      </c>
      <c r="K26" s="82">
        <v>13.6</v>
      </c>
      <c r="L26" s="82">
        <v>13.3</v>
      </c>
      <c r="M26" s="82">
        <v>13.9</v>
      </c>
      <c r="N26" s="31">
        <f t="shared" si="0"/>
        <v>13.975000000000001</v>
      </c>
    </row>
    <row r="27" spans="1:14" ht="14.25">
      <c r="A27" s="34">
        <v>2022</v>
      </c>
      <c r="B27" s="31">
        <v>14.6</v>
      </c>
      <c r="C27" s="31">
        <v>16.3</v>
      </c>
      <c r="D27" s="31">
        <v>15.9</v>
      </c>
      <c r="E27" s="31">
        <v>14.5</v>
      </c>
      <c r="F27" s="31">
        <v>14</v>
      </c>
      <c r="G27" s="31">
        <v>15.9</v>
      </c>
      <c r="H27" s="31">
        <v>16.1</v>
      </c>
      <c r="I27" s="31">
        <v>16.5</v>
      </c>
      <c r="J27" s="31">
        <v>16.1</v>
      </c>
      <c r="K27" s="31">
        <v>16</v>
      </c>
      <c r="L27" s="31">
        <v>15.8</v>
      </c>
      <c r="M27" s="31">
        <v>15.6</v>
      </c>
      <c r="N27" s="31">
        <f t="shared" si="0"/>
        <v>15.608333333333334</v>
      </c>
    </row>
    <row r="28" spans="1:14" ht="14.25">
      <c r="A28" s="38">
        <v>2023</v>
      </c>
      <c r="B28" s="40">
        <v>15</v>
      </c>
      <c r="C28" s="40">
        <v>14.8</v>
      </c>
      <c r="D28" s="40">
        <v>14.2</v>
      </c>
      <c r="E28" s="40">
        <v>13.8</v>
      </c>
      <c r="F28" s="40">
        <v>15.1</v>
      </c>
      <c r="G28" s="40">
        <v>16.4</v>
      </c>
      <c r="H28" s="40">
        <v>15.8</v>
      </c>
      <c r="I28" s="40">
        <v>15.9</v>
      </c>
      <c r="J28" s="40">
        <v>14.2</v>
      </c>
      <c r="K28" s="40">
        <v>14.8</v>
      </c>
      <c r="L28" s="40">
        <v>14.7</v>
      </c>
      <c r="M28" s="40">
        <v>15.9</v>
      </c>
      <c r="N28" s="40">
        <f t="shared" si="0"/>
        <v>15.049999999999999</v>
      </c>
    </row>
    <row r="29" spans="2:14" ht="14.25">
      <c r="B29" s="30"/>
      <c r="C29" s="28" t="s">
        <v>127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4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30"/>
  <sheetViews>
    <sheetView zoomScale="90" zoomScaleNormal="90" zoomScalePageLayoutView="0" workbookViewId="0" topLeftCell="A1">
      <selection activeCell="K32" sqref="K32"/>
    </sheetView>
  </sheetViews>
  <sheetFormatPr defaultColWidth="9.140625" defaultRowHeight="12.75"/>
  <cols>
    <col min="1" max="1" width="6.7109375" style="28" customWidth="1"/>
    <col min="2" max="16384" width="9.140625" style="28" customWidth="1"/>
  </cols>
  <sheetData>
    <row r="1" ht="15.75">
      <c r="A1" s="36" t="s">
        <v>128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46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4.25">
      <c r="A5" s="47">
        <v>2000</v>
      </c>
      <c r="B5" s="39">
        <v>9550</v>
      </c>
      <c r="C5" s="39">
        <v>9471</v>
      </c>
      <c r="D5" s="39">
        <v>9537</v>
      </c>
      <c r="E5" s="39">
        <v>9380</v>
      </c>
      <c r="F5" s="39">
        <v>9526</v>
      </c>
      <c r="G5" s="39">
        <v>9472</v>
      </c>
      <c r="H5" s="39">
        <v>9507</v>
      </c>
      <c r="I5" s="39">
        <v>10091</v>
      </c>
      <c r="J5" s="39">
        <v>10873</v>
      </c>
      <c r="K5" s="39">
        <v>11060</v>
      </c>
      <c r="L5" s="39">
        <v>11261</v>
      </c>
      <c r="M5" s="39">
        <v>10629</v>
      </c>
      <c r="N5" s="79">
        <f aca="true" t="shared" si="0" ref="N5:N24">AVERAGE(B5:M5)</f>
        <v>10029.75</v>
      </c>
    </row>
    <row r="6" spans="1:14" ht="14.25">
      <c r="A6" s="46">
        <v>2001</v>
      </c>
      <c r="B6" s="39">
        <v>11232</v>
      </c>
      <c r="C6" s="39">
        <v>10762</v>
      </c>
      <c r="D6" s="39">
        <v>10658</v>
      </c>
      <c r="E6" s="39">
        <v>10958</v>
      </c>
      <c r="F6" s="39">
        <v>11596</v>
      </c>
      <c r="G6" s="39">
        <v>11932</v>
      </c>
      <c r="H6" s="39">
        <v>12150</v>
      </c>
      <c r="I6" s="39">
        <v>11933</v>
      </c>
      <c r="J6" s="39">
        <v>11159</v>
      </c>
      <c r="K6" s="39">
        <v>11174</v>
      </c>
      <c r="L6" s="39">
        <v>11533</v>
      </c>
      <c r="M6" s="39">
        <v>11657</v>
      </c>
      <c r="N6" s="79">
        <f t="shared" si="0"/>
        <v>11395.333333333334</v>
      </c>
    </row>
    <row r="7" spans="1:14" ht="14.25">
      <c r="A7" s="47">
        <v>2002</v>
      </c>
      <c r="B7" s="39">
        <v>11143</v>
      </c>
      <c r="C7" s="39">
        <v>11254</v>
      </c>
      <c r="D7" s="39">
        <v>11794</v>
      </c>
      <c r="E7" s="39">
        <v>11503</v>
      </c>
      <c r="F7" s="39">
        <v>11737</v>
      </c>
      <c r="G7" s="39">
        <v>11525</v>
      </c>
      <c r="H7" s="39">
        <v>11349</v>
      </c>
      <c r="I7" s="39">
        <v>10791</v>
      </c>
      <c r="J7" s="39">
        <v>10962</v>
      </c>
      <c r="K7" s="39">
        <v>10955</v>
      </c>
      <c r="L7" s="39">
        <v>10907</v>
      </c>
      <c r="M7" s="39">
        <v>10678</v>
      </c>
      <c r="N7" s="79">
        <f t="shared" si="0"/>
        <v>11216.5</v>
      </c>
    </row>
    <row r="8" spans="1:14" ht="14.25">
      <c r="A8" s="46">
        <v>2003</v>
      </c>
      <c r="B8" s="39">
        <v>10547</v>
      </c>
      <c r="C8" s="39">
        <v>10505</v>
      </c>
      <c r="D8" s="39">
        <v>10470</v>
      </c>
      <c r="E8" s="39">
        <v>10357</v>
      </c>
      <c r="F8" s="39">
        <v>10312</v>
      </c>
      <c r="G8" s="39">
        <v>10253</v>
      </c>
      <c r="H8" s="39">
        <v>8088</v>
      </c>
      <c r="I8" s="39">
        <v>10724</v>
      </c>
      <c r="J8" s="39">
        <v>10601</v>
      </c>
      <c r="K8" s="39">
        <v>10443</v>
      </c>
      <c r="L8" s="39">
        <v>10543</v>
      </c>
      <c r="M8" s="39">
        <v>10367</v>
      </c>
      <c r="N8" s="79">
        <f t="shared" si="0"/>
        <v>10267.5</v>
      </c>
    </row>
    <row r="9" spans="1:14" ht="14.25">
      <c r="A9" s="47">
        <v>2004</v>
      </c>
      <c r="B9" s="39">
        <v>10099</v>
      </c>
      <c r="C9" s="39">
        <v>9942</v>
      </c>
      <c r="D9" s="39">
        <v>9967</v>
      </c>
      <c r="E9" s="39">
        <v>9535</v>
      </c>
      <c r="F9" s="39">
        <v>8944</v>
      </c>
      <c r="G9" s="39">
        <v>10391</v>
      </c>
      <c r="H9" s="39">
        <v>9707</v>
      </c>
      <c r="I9" s="39">
        <v>10282</v>
      </c>
      <c r="J9" s="39">
        <v>10224</v>
      </c>
      <c r="K9" s="39">
        <v>10183</v>
      </c>
      <c r="L9" s="39">
        <v>10223</v>
      </c>
      <c r="M9" s="39">
        <v>9785</v>
      </c>
      <c r="N9" s="79">
        <f t="shared" si="0"/>
        <v>9940.166666666666</v>
      </c>
    </row>
    <row r="10" spans="1:14" ht="14.25">
      <c r="A10" s="46">
        <v>2005</v>
      </c>
      <c r="B10" s="39">
        <v>9707</v>
      </c>
      <c r="C10" s="39">
        <v>9792</v>
      </c>
      <c r="D10" s="39">
        <v>9719</v>
      </c>
      <c r="E10" s="39">
        <v>9847</v>
      </c>
      <c r="F10" s="39">
        <v>9757</v>
      </c>
      <c r="G10" s="39">
        <v>9714</v>
      </c>
      <c r="H10" s="39">
        <v>9548</v>
      </c>
      <c r="I10" s="39">
        <v>9049</v>
      </c>
      <c r="J10" s="39">
        <v>9031</v>
      </c>
      <c r="K10" s="39">
        <v>8938</v>
      </c>
      <c r="L10" s="39">
        <v>8893</v>
      </c>
      <c r="M10" s="39">
        <v>8843</v>
      </c>
      <c r="N10" s="79">
        <f t="shared" si="0"/>
        <v>9403.166666666666</v>
      </c>
    </row>
    <row r="11" spans="1:14" ht="14.25">
      <c r="A11" s="47">
        <v>2006</v>
      </c>
      <c r="B11" s="39">
        <v>8757</v>
      </c>
      <c r="C11" s="39">
        <v>8633</v>
      </c>
      <c r="D11" s="39">
        <v>8713</v>
      </c>
      <c r="E11" s="39">
        <v>8710</v>
      </c>
      <c r="F11" s="39">
        <v>8629</v>
      </c>
      <c r="G11" s="39">
        <v>8612</v>
      </c>
      <c r="H11" s="39">
        <v>8472</v>
      </c>
      <c r="I11" s="39">
        <v>8048</v>
      </c>
      <c r="J11" s="39">
        <v>8065</v>
      </c>
      <c r="K11" s="39">
        <v>7996</v>
      </c>
      <c r="L11" s="39">
        <v>7984</v>
      </c>
      <c r="M11" s="39">
        <v>7932</v>
      </c>
      <c r="N11" s="79">
        <f t="shared" si="0"/>
        <v>8379.25</v>
      </c>
    </row>
    <row r="12" spans="1:14" ht="14.25">
      <c r="A12" s="46">
        <v>2007</v>
      </c>
      <c r="B12" s="39">
        <v>7863</v>
      </c>
      <c r="C12" s="39">
        <v>7788</v>
      </c>
      <c r="D12" s="39">
        <v>7849</v>
      </c>
      <c r="E12" s="39">
        <v>7789</v>
      </c>
      <c r="F12" s="39">
        <v>7702</v>
      </c>
      <c r="G12" s="39">
        <v>7662</v>
      </c>
      <c r="H12" s="39">
        <v>7604</v>
      </c>
      <c r="I12" s="39">
        <v>8006</v>
      </c>
      <c r="J12" s="39">
        <v>8011</v>
      </c>
      <c r="K12" s="39">
        <v>7979</v>
      </c>
      <c r="L12" s="39">
        <v>7988</v>
      </c>
      <c r="M12" s="39">
        <v>7933</v>
      </c>
      <c r="N12" s="79">
        <f t="shared" si="0"/>
        <v>7847.833333333333</v>
      </c>
    </row>
    <row r="13" spans="1:14" ht="14.25">
      <c r="A13" s="47">
        <v>2008</v>
      </c>
      <c r="B13" s="39">
        <v>7918</v>
      </c>
      <c r="C13" s="39">
        <v>7723</v>
      </c>
      <c r="D13" s="39">
        <v>7695</v>
      </c>
      <c r="E13" s="39">
        <v>7693</v>
      </c>
      <c r="F13" s="39">
        <v>7483</v>
      </c>
      <c r="G13" s="39">
        <v>7383</v>
      </c>
      <c r="H13" s="39">
        <v>7328</v>
      </c>
      <c r="I13" s="39">
        <v>7376</v>
      </c>
      <c r="J13" s="39">
        <v>7191</v>
      </c>
      <c r="K13" s="39">
        <v>7327</v>
      </c>
      <c r="L13" s="39">
        <v>7271</v>
      </c>
      <c r="M13" s="39">
        <v>7325</v>
      </c>
      <c r="N13" s="79">
        <f t="shared" si="0"/>
        <v>7476.083333333333</v>
      </c>
    </row>
    <row r="14" spans="1:14" ht="14.25">
      <c r="A14" s="47">
        <v>2009</v>
      </c>
      <c r="B14" s="39">
        <v>7422</v>
      </c>
      <c r="C14" s="39">
        <v>7272</v>
      </c>
      <c r="D14" s="39">
        <v>7248</v>
      </c>
      <c r="E14" s="39">
        <v>7231</v>
      </c>
      <c r="F14" s="39">
        <v>7230</v>
      </c>
      <c r="G14" s="39">
        <v>7210</v>
      </c>
      <c r="H14" s="39">
        <v>7168</v>
      </c>
      <c r="I14" s="39">
        <v>7129</v>
      </c>
      <c r="J14" s="39">
        <v>7108</v>
      </c>
      <c r="K14" s="39">
        <v>7124</v>
      </c>
      <c r="L14" s="39">
        <v>7178</v>
      </c>
      <c r="M14" s="39">
        <v>7154</v>
      </c>
      <c r="N14" s="79">
        <f t="shared" si="0"/>
        <v>7206.166666666667</v>
      </c>
    </row>
    <row r="15" spans="1:14" ht="14.25">
      <c r="A15" s="47">
        <v>2010</v>
      </c>
      <c r="B15" s="39">
        <v>7171</v>
      </c>
      <c r="C15" s="39">
        <v>7006</v>
      </c>
      <c r="D15" s="39">
        <v>7027</v>
      </c>
      <c r="E15" s="39">
        <v>7221</v>
      </c>
      <c r="F15" s="39">
        <v>7151</v>
      </c>
      <c r="G15" s="39">
        <v>7028</v>
      </c>
      <c r="H15" s="39">
        <v>6681</v>
      </c>
      <c r="I15" s="39">
        <v>6852</v>
      </c>
      <c r="J15" s="39">
        <v>6877</v>
      </c>
      <c r="K15" s="39">
        <v>6906</v>
      </c>
      <c r="L15" s="39">
        <v>6831</v>
      </c>
      <c r="M15" s="39">
        <v>6800</v>
      </c>
      <c r="N15" s="79">
        <f t="shared" si="0"/>
        <v>6962.583333333333</v>
      </c>
    </row>
    <row r="16" spans="1:14" ht="14.25">
      <c r="A16" s="47">
        <v>2011</v>
      </c>
      <c r="B16" s="39">
        <v>6722</v>
      </c>
      <c r="C16" s="39">
        <v>6667</v>
      </c>
      <c r="D16" s="39">
        <v>6971</v>
      </c>
      <c r="E16" s="39">
        <v>6731</v>
      </c>
      <c r="F16" s="39">
        <v>6716</v>
      </c>
      <c r="G16" s="39">
        <v>6791</v>
      </c>
      <c r="H16" s="39">
        <v>6743</v>
      </c>
      <c r="I16" s="39">
        <v>6710</v>
      </c>
      <c r="J16" s="39">
        <v>6697</v>
      </c>
      <c r="K16" s="39">
        <v>6656</v>
      </c>
      <c r="L16" s="39">
        <v>6605</v>
      </c>
      <c r="M16" s="39">
        <v>6561</v>
      </c>
      <c r="N16" s="79">
        <f t="shared" si="0"/>
        <v>6714.166666666667</v>
      </c>
    </row>
    <row r="17" spans="1:14" ht="14.25">
      <c r="A17" s="46">
        <v>2012</v>
      </c>
      <c r="B17" s="39">
        <v>6515</v>
      </c>
      <c r="C17" s="39">
        <v>6479</v>
      </c>
      <c r="D17" s="39">
        <v>6492</v>
      </c>
      <c r="E17" s="39">
        <v>6591</v>
      </c>
      <c r="F17" s="39">
        <v>6582</v>
      </c>
      <c r="G17" s="39">
        <v>6434</v>
      </c>
      <c r="H17" s="39">
        <v>6295</v>
      </c>
      <c r="I17" s="39">
        <v>6237</v>
      </c>
      <c r="J17" s="39">
        <v>6265</v>
      </c>
      <c r="K17" s="39">
        <v>6244</v>
      </c>
      <c r="L17" s="39">
        <v>6242</v>
      </c>
      <c r="M17" s="39">
        <v>6190</v>
      </c>
      <c r="N17" s="79">
        <f t="shared" si="0"/>
        <v>6380.5</v>
      </c>
    </row>
    <row r="18" spans="1:14" ht="14.25">
      <c r="A18" s="47">
        <v>2013</v>
      </c>
      <c r="B18" s="39">
        <v>6166</v>
      </c>
      <c r="C18" s="39">
        <v>6092</v>
      </c>
      <c r="D18" s="39">
        <v>6150</v>
      </c>
      <c r="E18" s="39">
        <v>6141</v>
      </c>
      <c r="F18" s="39">
        <v>6140</v>
      </c>
      <c r="G18" s="39">
        <v>6132</v>
      </c>
      <c r="H18" s="39">
        <v>6042</v>
      </c>
      <c r="I18" s="39">
        <v>6219</v>
      </c>
      <c r="J18" s="39">
        <v>6344</v>
      </c>
      <c r="K18" s="39">
        <v>6227</v>
      </c>
      <c r="L18" s="39">
        <v>6130</v>
      </c>
      <c r="M18" s="39">
        <v>6071</v>
      </c>
      <c r="N18" s="79">
        <f t="shared" si="0"/>
        <v>6154.5</v>
      </c>
    </row>
    <row r="19" spans="1:14" ht="14.25">
      <c r="A19" s="46">
        <v>2014</v>
      </c>
      <c r="B19" s="39">
        <v>6005</v>
      </c>
      <c r="C19" s="39">
        <v>5984</v>
      </c>
      <c r="D19" s="39">
        <v>5975</v>
      </c>
      <c r="E19" s="39">
        <v>5987</v>
      </c>
      <c r="F19" s="39">
        <v>6036</v>
      </c>
      <c r="G19" s="39">
        <v>5959</v>
      </c>
      <c r="H19" s="39">
        <v>6292</v>
      </c>
      <c r="I19" s="39">
        <v>6053</v>
      </c>
      <c r="J19" s="39">
        <v>5961</v>
      </c>
      <c r="K19" s="39">
        <v>5892</v>
      </c>
      <c r="L19" s="39">
        <v>5962</v>
      </c>
      <c r="M19" s="39">
        <v>5827</v>
      </c>
      <c r="N19" s="79">
        <f t="shared" si="0"/>
        <v>5994.416666666667</v>
      </c>
    </row>
    <row r="20" spans="1:14" ht="14.25">
      <c r="A20" s="47">
        <v>2015</v>
      </c>
      <c r="B20" s="39">
        <v>5804</v>
      </c>
      <c r="C20" s="39">
        <v>5715</v>
      </c>
      <c r="D20" s="39">
        <v>5676</v>
      </c>
      <c r="E20" s="39">
        <v>5795</v>
      </c>
      <c r="F20" s="39">
        <v>5801</v>
      </c>
      <c r="G20" s="39">
        <v>5741</v>
      </c>
      <c r="H20" s="39">
        <v>5578</v>
      </c>
      <c r="I20" s="39">
        <v>5534</v>
      </c>
      <c r="J20" s="39">
        <v>5503</v>
      </c>
      <c r="K20" s="39">
        <v>5493</v>
      </c>
      <c r="L20" s="39">
        <v>5498</v>
      </c>
      <c r="M20" s="39">
        <v>5497</v>
      </c>
      <c r="N20" s="79">
        <f t="shared" si="0"/>
        <v>5636.25</v>
      </c>
    </row>
    <row r="21" spans="1:14" ht="14.25">
      <c r="A21" s="46">
        <v>2016</v>
      </c>
      <c r="B21" s="39">
        <v>5432</v>
      </c>
      <c r="C21" s="39">
        <v>5323</v>
      </c>
      <c r="D21" s="39">
        <v>5343</v>
      </c>
      <c r="E21" s="39">
        <v>5279</v>
      </c>
      <c r="F21" s="39">
        <v>5394</v>
      </c>
      <c r="G21" s="39">
        <v>5336</v>
      </c>
      <c r="H21" s="39">
        <v>5363</v>
      </c>
      <c r="I21" s="39">
        <v>5293</v>
      </c>
      <c r="J21" s="39">
        <v>5377</v>
      </c>
      <c r="K21" s="39">
        <v>5266</v>
      </c>
      <c r="L21" s="39">
        <v>5282</v>
      </c>
      <c r="M21" s="39">
        <v>5150</v>
      </c>
      <c r="N21" s="79">
        <f t="shared" si="0"/>
        <v>5319.833333333333</v>
      </c>
    </row>
    <row r="22" spans="1:14" ht="14.25">
      <c r="A22" s="47">
        <v>2017</v>
      </c>
      <c r="B22" s="39">
        <v>5188</v>
      </c>
      <c r="C22" s="39">
        <v>5083</v>
      </c>
      <c r="D22" s="39">
        <v>5082</v>
      </c>
      <c r="E22" s="39">
        <v>5304</v>
      </c>
      <c r="F22" s="39">
        <v>5021</v>
      </c>
      <c r="G22" s="39">
        <v>4984</v>
      </c>
      <c r="H22" s="39">
        <v>4940</v>
      </c>
      <c r="I22" s="39">
        <v>4905</v>
      </c>
      <c r="J22" s="39">
        <v>4896</v>
      </c>
      <c r="K22" s="39">
        <v>4892</v>
      </c>
      <c r="L22" s="39">
        <v>4778</v>
      </c>
      <c r="M22" s="39">
        <v>4771</v>
      </c>
      <c r="N22" s="79">
        <f t="shared" si="0"/>
        <v>4987</v>
      </c>
    </row>
    <row r="23" spans="1:14" ht="14.25">
      <c r="A23" s="47">
        <v>2018</v>
      </c>
      <c r="B23" s="39">
        <v>4721</v>
      </c>
      <c r="C23" s="39">
        <v>4657</v>
      </c>
      <c r="D23" s="39">
        <v>4619</v>
      </c>
      <c r="E23" s="39">
        <v>4545</v>
      </c>
      <c r="F23" s="39">
        <v>4549</v>
      </c>
      <c r="G23" s="39">
        <v>4530</v>
      </c>
      <c r="H23" s="39">
        <v>4479</v>
      </c>
      <c r="I23" s="39">
        <v>4459</v>
      </c>
      <c r="J23" s="39">
        <v>4434</v>
      </c>
      <c r="K23" s="39">
        <v>4426</v>
      </c>
      <c r="L23" s="39">
        <v>4381</v>
      </c>
      <c r="M23" s="39">
        <v>4441</v>
      </c>
      <c r="N23" s="79">
        <f t="shared" si="0"/>
        <v>4520.083333333333</v>
      </c>
    </row>
    <row r="24" spans="1:14" ht="14.25">
      <c r="A24" s="47">
        <v>2019</v>
      </c>
      <c r="B24" s="39">
        <v>4311</v>
      </c>
      <c r="C24" s="39">
        <v>4399</v>
      </c>
      <c r="D24" s="39">
        <v>4284</v>
      </c>
      <c r="E24" s="39">
        <v>4281</v>
      </c>
      <c r="F24" s="39">
        <v>4221</v>
      </c>
      <c r="G24" s="39">
        <v>4201</v>
      </c>
      <c r="H24" s="39">
        <v>4125</v>
      </c>
      <c r="I24" s="39">
        <v>4092</v>
      </c>
      <c r="J24" s="39">
        <v>4079</v>
      </c>
      <c r="K24" s="39">
        <v>4147</v>
      </c>
      <c r="L24" s="39">
        <v>4050</v>
      </c>
      <c r="M24" s="39">
        <v>3995</v>
      </c>
      <c r="N24" s="79">
        <f t="shared" si="0"/>
        <v>4182.083333333333</v>
      </c>
    </row>
    <row r="25" spans="1:14" ht="14.25">
      <c r="A25" s="80">
        <v>2020</v>
      </c>
      <c r="B25" s="79">
        <v>4023</v>
      </c>
      <c r="C25" s="79">
        <v>4023</v>
      </c>
      <c r="D25" s="79">
        <v>4055</v>
      </c>
      <c r="E25" s="79">
        <v>3950</v>
      </c>
      <c r="F25" s="79">
        <v>3948</v>
      </c>
      <c r="G25" s="79">
        <v>3602</v>
      </c>
      <c r="H25" s="79">
        <v>3437</v>
      </c>
      <c r="I25" s="79">
        <v>3731</v>
      </c>
      <c r="J25" s="79">
        <v>3877</v>
      </c>
      <c r="K25" s="79">
        <v>3826</v>
      </c>
      <c r="L25" s="79">
        <v>3752</v>
      </c>
      <c r="M25" s="79">
        <v>3743</v>
      </c>
      <c r="N25" s="79">
        <f>AVERAGE(B25:M25)</f>
        <v>3830.5833333333335</v>
      </c>
    </row>
    <row r="26" spans="1:14" ht="14.25">
      <c r="A26" s="33">
        <v>2021</v>
      </c>
      <c r="B26" s="79">
        <v>3699</v>
      </c>
      <c r="C26" s="79">
        <v>3666</v>
      </c>
      <c r="D26" s="79">
        <v>3586</v>
      </c>
      <c r="E26" s="79">
        <v>3491</v>
      </c>
      <c r="F26" s="79">
        <v>3555</v>
      </c>
      <c r="G26" s="79">
        <v>3816</v>
      </c>
      <c r="H26" s="79">
        <v>3661</v>
      </c>
      <c r="I26" s="79">
        <v>3616</v>
      </c>
      <c r="J26" s="79">
        <v>3583</v>
      </c>
      <c r="K26" s="79">
        <v>3430</v>
      </c>
      <c r="L26" s="79">
        <v>3500</v>
      </c>
      <c r="M26" s="79">
        <v>3572</v>
      </c>
      <c r="N26" s="79">
        <f>AVERAGE(B26:M26)</f>
        <v>3597.9166666666665</v>
      </c>
    </row>
    <row r="27" spans="1:14" ht="14.25">
      <c r="A27" s="33">
        <v>2022</v>
      </c>
      <c r="B27" s="79">
        <v>3666</v>
      </c>
      <c r="C27" s="79">
        <v>3394</v>
      </c>
      <c r="D27" s="79">
        <v>3333</v>
      </c>
      <c r="E27" s="79">
        <v>3406</v>
      </c>
      <c r="F27" s="79">
        <v>3369</v>
      </c>
      <c r="G27" s="79">
        <v>3307</v>
      </c>
      <c r="H27" s="79">
        <v>3332</v>
      </c>
      <c r="I27" s="79">
        <v>3531</v>
      </c>
      <c r="J27" s="79">
        <v>3449</v>
      </c>
      <c r="K27" s="79">
        <v>3423</v>
      </c>
      <c r="L27" s="79">
        <v>3410</v>
      </c>
      <c r="M27" s="79">
        <v>3425</v>
      </c>
      <c r="N27" s="79">
        <f>AVERAGE(B27:M27)</f>
        <v>3420.4166666666665</v>
      </c>
    </row>
    <row r="28" spans="1:14" ht="14.25">
      <c r="A28" s="33">
        <v>2023</v>
      </c>
      <c r="B28" s="79">
        <v>3298</v>
      </c>
      <c r="C28" s="79">
        <v>3346</v>
      </c>
      <c r="D28" s="79">
        <v>3330</v>
      </c>
      <c r="E28" s="79">
        <v>3352</v>
      </c>
      <c r="F28" s="79">
        <v>3353</v>
      </c>
      <c r="G28" s="79">
        <v>3326</v>
      </c>
      <c r="H28" s="79">
        <v>3292</v>
      </c>
      <c r="I28" s="79">
        <v>3427</v>
      </c>
      <c r="J28" s="79">
        <v>3439</v>
      </c>
      <c r="K28" s="39">
        <v>3495</v>
      </c>
      <c r="L28" s="39">
        <v>3507</v>
      </c>
      <c r="M28" s="39">
        <v>3490</v>
      </c>
      <c r="N28" s="79">
        <f>AVERAGE(B28:M28)</f>
        <v>3387.9166666666665</v>
      </c>
    </row>
    <row r="29" spans="2:14" ht="14.2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2:14" ht="14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</sheetData>
  <sheetProtection/>
  <printOptions/>
  <pageMargins left="0.5" right="0.5" top="1" bottom="0.5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30"/>
  <sheetViews>
    <sheetView zoomScale="90" zoomScaleNormal="90" zoomScalePageLayoutView="0" workbookViewId="0" topLeftCell="A1">
      <selection activeCell="I31" sqref="I31"/>
    </sheetView>
  </sheetViews>
  <sheetFormatPr defaultColWidth="9.140625" defaultRowHeight="12.75"/>
  <cols>
    <col min="1" max="1" width="6.7109375" style="28" customWidth="1"/>
    <col min="2" max="16384" width="9.140625" style="28" customWidth="1"/>
  </cols>
  <sheetData>
    <row r="1" ht="15.75">
      <c r="A1" s="36" t="s">
        <v>129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46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4.25">
      <c r="A5" s="47">
        <v>2000</v>
      </c>
      <c r="B5" s="39">
        <v>3795.6023002871134</v>
      </c>
      <c r="C5" s="39">
        <v>3850.3188572011113</v>
      </c>
      <c r="D5" s="39">
        <v>3942.80348185505</v>
      </c>
      <c r="E5" s="39">
        <v>3926.073855721393</v>
      </c>
      <c r="F5" s="39">
        <v>3839.0290681530346</v>
      </c>
      <c r="G5" s="39">
        <v>3921.9483847128377</v>
      </c>
      <c r="H5" s="39">
        <v>4116.893647125887</v>
      </c>
      <c r="I5" s="39">
        <v>3787.1001115654003</v>
      </c>
      <c r="J5" s="39">
        <v>3860.978058800086</v>
      </c>
      <c r="K5" s="39">
        <v>3830.49974041883</v>
      </c>
      <c r="L5" s="39">
        <v>3742.757676938105</v>
      </c>
      <c r="M5" s="39">
        <v>3780.819589740788</v>
      </c>
      <c r="N5" s="39">
        <f>AVERAGE(B5:M5)</f>
        <v>3866.2353977099697</v>
      </c>
    </row>
    <row r="6" spans="1:14" ht="14.25">
      <c r="A6" s="47">
        <v>2001</v>
      </c>
      <c r="B6" s="39">
        <v>3978.17891565573</v>
      </c>
      <c r="C6" s="39">
        <v>3966.3902786258527</v>
      </c>
      <c r="D6" s="39">
        <v>4049.844617703497</v>
      </c>
      <c r="E6" s="39">
        <v>3972.788629311918</v>
      </c>
      <c r="F6" s="39">
        <v>4098.570747421247</v>
      </c>
      <c r="G6" s="39">
        <v>4429.766043692032</v>
      </c>
      <c r="H6" s="39">
        <v>4384.136500730121</v>
      </c>
      <c r="I6" s="39">
        <v>4161.973145762767</v>
      </c>
      <c r="J6" s="39">
        <v>3951.594064581653</v>
      </c>
      <c r="K6" s="39">
        <v>4112.901753494576</v>
      </c>
      <c r="L6" s="39">
        <v>4185.32269718778</v>
      </c>
      <c r="M6" s="39">
        <v>4313.159026695852</v>
      </c>
      <c r="N6" s="39">
        <f>AVERAGE(B6:M6)</f>
        <v>4133.718868405252</v>
      </c>
    </row>
    <row r="7" spans="1:14" ht="14.25">
      <c r="A7" s="46">
        <v>2002</v>
      </c>
      <c r="B7" s="39">
        <v>4127.038985852539</v>
      </c>
      <c r="C7" s="39">
        <v>4676.18754284191</v>
      </c>
      <c r="D7" s="39">
        <v>4310.176111965078</v>
      </c>
      <c r="E7" s="39">
        <v>4513.024121243734</v>
      </c>
      <c r="F7" s="39">
        <v>4769.063150170264</v>
      </c>
      <c r="G7" s="39">
        <v>4711.948254519161</v>
      </c>
      <c r="H7" s="39">
        <v>4064.9309190237022</v>
      </c>
      <c r="I7" s="39">
        <v>4064.1154157735987</v>
      </c>
      <c r="J7" s="39">
        <v>4253.269251353159</v>
      </c>
      <c r="K7" s="39">
        <v>4327.7546620338335</v>
      </c>
      <c r="L7" s="39">
        <v>4036.4902661899087</v>
      </c>
      <c r="M7" s="39">
        <v>4119.60268323777</v>
      </c>
      <c r="N7" s="39">
        <f aca="true" t="shared" si="0" ref="N7:N23">AVERAGE(B7:M7)</f>
        <v>4331.133447017055</v>
      </c>
    </row>
    <row r="8" spans="1:14" ht="14.25">
      <c r="A8" s="47">
        <v>2003</v>
      </c>
      <c r="B8" s="39">
        <v>4474.161067051631</v>
      </c>
      <c r="C8" s="39">
        <v>4718.056751886857</v>
      </c>
      <c r="D8" s="39">
        <v>4488.3816434051205</v>
      </c>
      <c r="E8" s="39">
        <v>4741.872295709825</v>
      </c>
      <c r="F8" s="39">
        <v>4797.088659626116</v>
      </c>
      <c r="G8" s="39">
        <v>4649.085168568549</v>
      </c>
      <c r="H8" s="39">
        <v>4061.2984349574044</v>
      </c>
      <c r="I8" s="39">
        <v>3032.4255904753886</v>
      </c>
      <c r="J8" s="39">
        <v>3163.9524101499856</v>
      </c>
      <c r="K8" s="39">
        <v>3336.639514661774</v>
      </c>
      <c r="L8" s="39">
        <v>4544.966584463625</v>
      </c>
      <c r="M8" s="39">
        <v>4529.516642447966</v>
      </c>
      <c r="N8" s="39">
        <f t="shared" si="0"/>
        <v>4211.453730283687</v>
      </c>
    </row>
    <row r="9" spans="1:14" ht="14.25">
      <c r="A9" s="47">
        <v>2004</v>
      </c>
      <c r="B9" s="39">
        <v>4833.145166081599</v>
      </c>
      <c r="C9" s="39">
        <v>4882.948012264235</v>
      </c>
      <c r="D9" s="39">
        <v>4198.948458946782</v>
      </c>
      <c r="E9" s="39">
        <v>3052.8985841636077</v>
      </c>
      <c r="F9" s="39">
        <v>3314.88511671187</v>
      </c>
      <c r="G9" s="39">
        <v>4979.6291790972955</v>
      </c>
      <c r="H9" s="39">
        <v>4942.845193192807</v>
      </c>
      <c r="I9" s="39">
        <v>4850.779125436874</v>
      </c>
      <c r="J9" s="39">
        <v>4357.32413275952</v>
      </c>
      <c r="K9" s="39">
        <v>4896.765329945862</v>
      </c>
      <c r="L9" s="39">
        <v>4815.049551664547</v>
      </c>
      <c r="M9" s="39">
        <v>3245.2059505167554</v>
      </c>
      <c r="N9" s="39">
        <f t="shared" si="0"/>
        <v>4364.201983398479</v>
      </c>
    </row>
    <row r="10" spans="1:14" ht="14.25">
      <c r="A10" s="46">
        <v>2005</v>
      </c>
      <c r="B10" s="39">
        <v>5179.094770318726</v>
      </c>
      <c r="C10" s="39">
        <v>4339.715700863679</v>
      </c>
      <c r="D10" s="39">
        <v>5521.597652088194</v>
      </c>
      <c r="E10" s="39">
        <v>4972.079171321214</v>
      </c>
      <c r="F10" s="39">
        <v>5767.977180981727</v>
      </c>
      <c r="G10" s="39">
        <v>5588.712061629264</v>
      </c>
      <c r="H10" s="39">
        <v>5593.348622241442</v>
      </c>
      <c r="I10" s="39">
        <v>5051.535931612476</v>
      </c>
      <c r="J10" s="39">
        <v>5282.638198058539</v>
      </c>
      <c r="K10" s="39">
        <v>5244.539826330492</v>
      </c>
      <c r="L10" s="39">
        <v>5264.723614078489</v>
      </c>
      <c r="M10" s="39">
        <v>5269.420405423645</v>
      </c>
      <c r="N10" s="39">
        <f t="shared" si="0"/>
        <v>5256.281927912324</v>
      </c>
    </row>
    <row r="11" spans="1:14" ht="14.25">
      <c r="A11" s="47">
        <v>2006</v>
      </c>
      <c r="B11" s="39">
        <v>5570.810805733293</v>
      </c>
      <c r="C11" s="39">
        <v>5749.438860022174</v>
      </c>
      <c r="D11" s="39">
        <v>5715.284198990756</v>
      </c>
      <c r="E11" s="39">
        <v>5791.7251052430165</v>
      </c>
      <c r="F11" s="39">
        <v>5898.77301223556</v>
      </c>
      <c r="G11" s="39">
        <v>5808.9316186716205</v>
      </c>
      <c r="H11" s="39">
        <v>5718.010501385969</v>
      </c>
      <c r="I11" s="39">
        <v>5451.905414288462</v>
      </c>
      <c r="J11" s="39">
        <v>5206.298334366605</v>
      </c>
      <c r="K11" s="39">
        <v>5441.43423727993</v>
      </c>
      <c r="L11" s="39">
        <v>5458.161898797595</v>
      </c>
      <c r="M11" s="39">
        <v>5586.27534446017</v>
      </c>
      <c r="N11" s="39">
        <f t="shared" si="0"/>
        <v>5616.42077762293</v>
      </c>
    </row>
    <row r="12" spans="1:14" ht="14.25">
      <c r="A12" s="47">
        <v>2007</v>
      </c>
      <c r="B12" s="39">
        <v>6037.790734883262</v>
      </c>
      <c r="C12" s="39">
        <v>5857.404982023626</v>
      </c>
      <c r="D12" s="39">
        <v>5887.010623913463</v>
      </c>
      <c r="E12" s="39">
        <v>6059.78443531476</v>
      </c>
      <c r="F12" s="39">
        <v>5965.561672292911</v>
      </c>
      <c r="G12" s="39">
        <v>5712.107361002349</v>
      </c>
      <c r="H12" s="39">
        <v>6225.9320179532</v>
      </c>
      <c r="I12" s="39">
        <v>5023.766356684099</v>
      </c>
      <c r="J12" s="39">
        <v>5431.678367245038</v>
      </c>
      <c r="K12" s="39">
        <v>5160.778487076964</v>
      </c>
      <c r="L12" s="39">
        <v>5262.945626773493</v>
      </c>
      <c r="M12" s="39">
        <v>5592.903465718944</v>
      </c>
      <c r="N12" s="39">
        <f t="shared" si="0"/>
        <v>5684.805344240176</v>
      </c>
    </row>
    <row r="13" spans="1:14" ht="14.25">
      <c r="A13" s="47">
        <v>2008</v>
      </c>
      <c r="B13" s="39">
        <v>5986.5704723415</v>
      </c>
      <c r="C13" s="39">
        <v>6141.0156451620105</v>
      </c>
      <c r="D13" s="39">
        <v>5400.900974658869</v>
      </c>
      <c r="E13" s="39">
        <v>6257.352333290004</v>
      </c>
      <c r="F13" s="39">
        <v>5304.311984584413</v>
      </c>
      <c r="G13" s="39">
        <v>5487.986351528286</v>
      </c>
      <c r="H13" s="39">
        <v>6115.191585082406</v>
      </c>
      <c r="I13" s="39">
        <v>5812.625944650479</v>
      </c>
      <c r="J13" s="39">
        <v>5808.858179205488</v>
      </c>
      <c r="K13" s="39">
        <v>5226.1753831388105</v>
      </c>
      <c r="L13" s="39">
        <v>5959.784536744143</v>
      </c>
      <c r="M13" s="39">
        <v>5396.262389078498</v>
      </c>
      <c r="N13" s="39">
        <f t="shared" si="0"/>
        <v>5741.419648288743</v>
      </c>
    </row>
    <row r="14" spans="1:14" ht="14.25">
      <c r="A14" s="47">
        <v>2009</v>
      </c>
      <c r="B14" s="39">
        <v>6050.292500065195</v>
      </c>
      <c r="C14" s="39">
        <v>6277.071315613704</v>
      </c>
      <c r="D14" s="39">
        <v>6261.309753969949</v>
      </c>
      <c r="E14" s="39">
        <v>6521.57119347255</v>
      </c>
      <c r="F14" s="39">
        <v>6663.587940034801</v>
      </c>
      <c r="G14" s="39">
        <v>6615.820850670365</v>
      </c>
      <c r="H14" s="39">
        <v>6571.7283176123265</v>
      </c>
      <c r="I14" s="39">
        <v>6235.943945447717</v>
      </c>
      <c r="J14" s="39">
        <v>6125.674038641906</v>
      </c>
      <c r="K14" s="39">
        <v>6049.75486768941</v>
      </c>
      <c r="L14" s="39">
        <v>6074.834020618557</v>
      </c>
      <c r="M14" s="39">
        <v>6270.436836599421</v>
      </c>
      <c r="N14" s="39">
        <f t="shared" si="0"/>
        <v>6309.835465036324</v>
      </c>
    </row>
    <row r="15" spans="1:14" ht="14.25">
      <c r="A15" s="47">
        <v>2010</v>
      </c>
      <c r="B15" s="39">
        <v>6368.839955735692</v>
      </c>
      <c r="C15" s="39">
        <v>6419.121329676605</v>
      </c>
      <c r="D15" s="39">
        <v>6770.307206764692</v>
      </c>
      <c r="E15" s="39">
        <v>6709.143913585376</v>
      </c>
      <c r="F15" s="39">
        <v>6366.064714612438</v>
      </c>
      <c r="G15" s="39">
        <v>6266.443416808955</v>
      </c>
      <c r="H15" s="39">
        <v>6168.625862460227</v>
      </c>
      <c r="I15" s="39">
        <v>5950.123420522381</v>
      </c>
      <c r="J15" s="39">
        <v>6068.215321603412</v>
      </c>
      <c r="K15" s="39">
        <v>6346.725745728352</v>
      </c>
      <c r="L15" s="39">
        <v>5982.527199531547</v>
      </c>
      <c r="M15" s="39">
        <v>6203.829663187856</v>
      </c>
      <c r="N15" s="39">
        <f t="shared" si="0"/>
        <v>6301.663979184795</v>
      </c>
    </row>
    <row r="16" spans="1:14" ht="14.25">
      <c r="A16" s="46">
        <v>2011</v>
      </c>
      <c r="B16" s="39">
        <v>5977.13122054688</v>
      </c>
      <c r="C16" s="39">
        <v>6508.418768347297</v>
      </c>
      <c r="D16" s="39">
        <v>6585.342719376587</v>
      </c>
      <c r="E16" s="39">
        <v>6428.414856633487</v>
      </c>
      <c r="F16" s="39">
        <v>5920.5937674114775</v>
      </c>
      <c r="G16" s="39">
        <v>6300.24028370883</v>
      </c>
      <c r="H16" s="39">
        <v>6697.507202212091</v>
      </c>
      <c r="I16" s="39">
        <v>6789.8514206047785</v>
      </c>
      <c r="J16" s="39">
        <v>6506.584978348515</v>
      </c>
      <c r="K16" s="39">
        <v>6837.035165942928</v>
      </c>
      <c r="L16" s="39">
        <v>6787.68329548322</v>
      </c>
      <c r="M16" s="39">
        <v>6712.734668692321</v>
      </c>
      <c r="N16" s="39">
        <f t="shared" si="0"/>
        <v>6504.294862275702</v>
      </c>
    </row>
    <row r="17" spans="1:14" ht="14.25">
      <c r="A17" s="47">
        <v>2012</v>
      </c>
      <c r="B17" s="39">
        <v>7537.0607531007845</v>
      </c>
      <c r="C17" s="39">
        <v>7822.1798862106225</v>
      </c>
      <c r="D17" s="39">
        <v>7740.133817303679</v>
      </c>
      <c r="E17" s="39">
        <v>7803.572376472968</v>
      </c>
      <c r="F17" s="39">
        <v>7812.631997333881</v>
      </c>
      <c r="G17" s="39">
        <v>7327.994440990571</v>
      </c>
      <c r="H17" s="39">
        <v>6452.942960362807</v>
      </c>
      <c r="I17" s="39">
        <v>6658.728550223173</v>
      </c>
      <c r="J17" s="39">
        <v>6330.60052141527</v>
      </c>
      <c r="K17" s="39">
        <v>6277.073117935153</v>
      </c>
      <c r="L17" s="39">
        <v>6991.806776674143</v>
      </c>
      <c r="M17" s="39">
        <v>7523.849580488822</v>
      </c>
      <c r="N17" s="39">
        <f t="shared" si="0"/>
        <v>7189.881231542658</v>
      </c>
    </row>
    <row r="18" spans="1:14" ht="14.25">
      <c r="A18" s="47">
        <v>2013</v>
      </c>
      <c r="B18" s="39">
        <v>8018.881410021659</v>
      </c>
      <c r="C18" s="39">
        <v>8003.905942219304</v>
      </c>
      <c r="D18" s="39">
        <v>7535.9405612378705</v>
      </c>
      <c r="E18" s="39">
        <v>7690.090007056397</v>
      </c>
      <c r="F18" s="39">
        <v>8239.31058631922</v>
      </c>
      <c r="G18" s="39">
        <v>7682.99996194825</v>
      </c>
      <c r="H18" s="39">
        <v>7216.099593170388</v>
      </c>
      <c r="I18" s="39">
        <v>7344.916182977244</v>
      </c>
      <c r="J18" s="39">
        <v>6828.082214165615</v>
      </c>
      <c r="K18" s="39">
        <v>6881.990851494792</v>
      </c>
      <c r="L18" s="39">
        <v>7101.337117998913</v>
      </c>
      <c r="M18" s="39">
        <v>6824.709050430125</v>
      </c>
      <c r="N18" s="39">
        <f t="shared" si="0"/>
        <v>7447.355289919981</v>
      </c>
    </row>
    <row r="19" spans="1:14" ht="14.25">
      <c r="A19" s="46">
        <v>2014</v>
      </c>
      <c r="B19" s="39">
        <v>7102.033638634471</v>
      </c>
      <c r="C19" s="39">
        <v>7739.287898682201</v>
      </c>
      <c r="D19" s="39">
        <v>7818.346789040357</v>
      </c>
      <c r="E19" s="39">
        <v>7910.553788764546</v>
      </c>
      <c r="F19" s="39">
        <v>8234.765086897967</v>
      </c>
      <c r="G19" s="39">
        <v>7770.252150808301</v>
      </c>
      <c r="H19" s="39">
        <v>7278.631923794681</v>
      </c>
      <c r="I19" s="39">
        <v>7760.603049407652</v>
      </c>
      <c r="J19" s="39">
        <v>8212.411401890064</v>
      </c>
      <c r="K19" s="39">
        <v>7767.1522841250035</v>
      </c>
      <c r="L19" s="39">
        <v>8088.9215363971825</v>
      </c>
      <c r="M19" s="39">
        <v>9241.223254372027</v>
      </c>
      <c r="N19" s="39">
        <f t="shared" si="0"/>
        <v>7910.348566901205</v>
      </c>
    </row>
    <row r="20" spans="1:14" ht="14.25">
      <c r="A20" s="47">
        <v>2015</v>
      </c>
      <c r="B20" s="39">
        <v>9387.29615282008</v>
      </c>
      <c r="C20" s="39">
        <v>9816.27207224097</v>
      </c>
      <c r="D20" s="39">
        <v>8863.884692764099</v>
      </c>
      <c r="E20" s="39">
        <v>8585.547696289905</v>
      </c>
      <c r="F20" s="39">
        <v>8266.855670045765</v>
      </c>
      <c r="G20" s="39">
        <v>8328.196684665854</v>
      </c>
      <c r="H20" s="39">
        <v>8312.374882892469</v>
      </c>
      <c r="I20" s="39">
        <v>8316.634068573161</v>
      </c>
      <c r="J20" s="39">
        <v>9452.201617299655</v>
      </c>
      <c r="K20" s="39">
        <v>9697.871044085434</v>
      </c>
      <c r="L20" s="39">
        <v>9047.968067175943</v>
      </c>
      <c r="M20" s="39">
        <v>9242.485050496753</v>
      </c>
      <c r="N20" s="39">
        <f t="shared" si="0"/>
        <v>8943.132308279173</v>
      </c>
    </row>
    <row r="21" spans="1:14" ht="14.25">
      <c r="A21" s="47">
        <v>2016</v>
      </c>
      <c r="B21" s="39">
        <v>10124.102320775333</v>
      </c>
      <c r="C21" s="39">
        <v>10375.251899693587</v>
      </c>
      <c r="D21" s="39">
        <v>10662.449240187643</v>
      </c>
      <c r="E21" s="39">
        <v>11018.975967670645</v>
      </c>
      <c r="F21" s="39">
        <v>10917.99843912591</v>
      </c>
      <c r="G21" s="39">
        <v>10294.258676911546</v>
      </c>
      <c r="H21" s="39">
        <v>10142.060877096954</v>
      </c>
      <c r="I21" s="39">
        <v>9152.01248148803</v>
      </c>
      <c r="J21" s="39">
        <v>9302.267943710867</v>
      </c>
      <c r="K21" s="39">
        <v>10361.385516337306</v>
      </c>
      <c r="L21" s="39">
        <v>9115.1062981194</v>
      </c>
      <c r="M21" s="39">
        <v>9646.779041653617</v>
      </c>
      <c r="N21" s="39">
        <f t="shared" si="0"/>
        <v>10092.720725230902</v>
      </c>
    </row>
    <row r="22" spans="1:14" ht="14.25">
      <c r="A22" s="46">
        <v>2017</v>
      </c>
      <c r="B22" s="39">
        <f>+'A3'!B22/'A1'!B22/31*1000000</f>
        <v>10832.227945382643</v>
      </c>
      <c r="C22" s="39">
        <f>+'A3'!C22/'A1'!C22/28*1000000</f>
        <v>11309.97058120907</v>
      </c>
      <c r="D22" s="39">
        <f>+'A3'!D22/'A1'!D22/31*1000000</f>
        <v>11779.32464993462</v>
      </c>
      <c r="E22" s="39">
        <f>+'A3'!E22/'A1'!E22/30*1000000</f>
        <v>11580.00370160885</v>
      </c>
      <c r="F22" s="39">
        <f>+'A3'!F22/'A1'!F22/31*1000000</f>
        <v>11150.478114499747</v>
      </c>
      <c r="G22" s="39">
        <f>+'A3'!G22/'A1'!G22/30*1000000</f>
        <v>11883.759764579989</v>
      </c>
      <c r="H22" s="39">
        <f>+'A3'!H22/'A1'!H22/31*1000000</f>
        <v>11178.660049627793</v>
      </c>
      <c r="I22" s="39">
        <f>+'A3'!I22/'A1'!I22/31*1000000</f>
        <v>10977.606787017856</v>
      </c>
      <c r="J22" s="39">
        <f>+'A3'!J22/'A1'!J22/30*1000000</f>
        <v>11005.0722290305</v>
      </c>
      <c r="K22" s="39">
        <f>+'A3'!K22/'A1'!K22/31*1000000</f>
        <v>10114.415101680162</v>
      </c>
      <c r="L22" s="39">
        <f>+'A3'!L22/'A1'!L22/30*1000000</f>
        <v>10368.926775498814</v>
      </c>
      <c r="M22" s="39">
        <f>+'A3'!M22/'A1'!M22/31*1000000</f>
        <v>11229.646378320633</v>
      </c>
      <c r="N22" s="39">
        <f t="shared" si="0"/>
        <v>11117.507673199223</v>
      </c>
    </row>
    <row r="23" spans="1:14" ht="14.25">
      <c r="A23" s="46">
        <v>2018</v>
      </c>
      <c r="B23" s="39">
        <f>+'A3'!B23/'A1'!B23/31*1000000</f>
        <v>11637.915449843184</v>
      </c>
      <c r="C23" s="39">
        <f>+'A3'!C23/'A1'!C23/28*1000000</f>
        <v>12310.608201171815</v>
      </c>
      <c r="D23" s="39">
        <f>+'A3'!D23/'A1'!D23/31*1000000</f>
        <v>11273.863592873753</v>
      </c>
      <c r="E23" s="39">
        <f>+'A3'!E23/'A1'!E23/30*1000000</f>
        <v>12289.31734506784</v>
      </c>
      <c r="F23" s="39">
        <f>+'A3'!F23/'A1'!F23/31*1000000</f>
        <v>11869.240683879478</v>
      </c>
      <c r="G23" s="39">
        <f>+'A3'!G23/'A1'!G23/30*1000000</f>
        <v>12715.16540103017</v>
      </c>
      <c r="H23" s="39">
        <f>+'A3'!H23/'A1'!H23/31*1000000</f>
        <v>11989.283322170128</v>
      </c>
      <c r="I23" s="39">
        <f>+'A3'!I23/'A1'!I23/31*1000000</f>
        <v>12076.33709279529</v>
      </c>
      <c r="J23" s="39">
        <f>+'A3'!J23/'A1'!J23/30*1000000</f>
        <v>10989.324913546836</v>
      </c>
      <c r="K23" s="39">
        <f>+'A3'!K23/'A1'!K23/31*1000000</f>
        <v>12006.763552614317</v>
      </c>
      <c r="L23" s="39">
        <f>+'A3'!L23/'A1'!L23/30*1000000</f>
        <v>11829.871414441146</v>
      </c>
      <c r="M23" s="39">
        <f>+'A3'!M23/'A1'!M23/31*1000000</f>
        <v>11438.865120468365</v>
      </c>
      <c r="N23" s="39">
        <f t="shared" si="0"/>
        <v>11868.879674158527</v>
      </c>
    </row>
    <row r="24" spans="1:14" ht="14.25">
      <c r="A24" s="46">
        <v>2019</v>
      </c>
      <c r="B24" s="39">
        <f>+'A3'!B24/'A1'!B24/31*1000000</f>
        <v>11531.788702568821</v>
      </c>
      <c r="C24" s="39">
        <f>+'A3'!C24/'A1'!C24/28*1000000</f>
        <v>11992.084426655409</v>
      </c>
      <c r="D24" s="39">
        <f>+'A3'!D24/'A1'!D24/31*1000000</f>
        <v>12533.50802686666</v>
      </c>
      <c r="E24" s="39">
        <f>+'A3'!E24/'A1'!E24/30*1000000</f>
        <v>12866.931402320331</v>
      </c>
      <c r="F24" s="39">
        <f>+'A3'!F24/'A1'!F24/31*1000000</f>
        <v>13931.876714736609</v>
      </c>
      <c r="G24" s="39">
        <f>+'A3'!G24/'A1'!G24/30*1000000</f>
        <v>13422.20106323891</v>
      </c>
      <c r="H24" s="39">
        <f>+'A3'!H24/'A1'!H24/31*1000000</f>
        <v>13295.796676441836</v>
      </c>
      <c r="I24" s="39">
        <f>+'A3'!I24/'A1'!I24/31*1000000</f>
        <v>13058.524895153407</v>
      </c>
      <c r="J24" s="39">
        <f>+'A3'!J24/'A1'!J24/30*1000000</f>
        <v>11645.746506496691</v>
      </c>
      <c r="K24" s="39">
        <f>+'A3'!K24/'A1'!K24/31*1000000</f>
        <v>11338.939147615456</v>
      </c>
      <c r="L24" s="39">
        <f>+'A3'!L24/'A1'!L24/30*1000000</f>
        <v>10890.534979423866</v>
      </c>
      <c r="M24" s="39">
        <f>+'A3'!M24/'A1'!M24/31*1000000</f>
        <v>12347.692680366587</v>
      </c>
      <c r="N24" s="39">
        <f>AVERAGE(B24:M24)</f>
        <v>12404.63543515705</v>
      </c>
    </row>
    <row r="25" spans="1:14" ht="14.25">
      <c r="A25" s="81">
        <v>2020</v>
      </c>
      <c r="B25" s="79">
        <f>+'A3'!B25/'A1'!B25/31*1000000</f>
        <v>13992.927762141879</v>
      </c>
      <c r="C25" s="79">
        <f>+'A3'!C25/'A1'!C25/28*1000000</f>
        <v>15123.752707645323</v>
      </c>
      <c r="D25" s="79">
        <f>+'A3'!D25/'A1'!D25/31*1000000</f>
        <v>13903.186030786366</v>
      </c>
      <c r="E25" s="79">
        <f>+'A3'!E25/'A1'!E25/31*1000000</f>
        <v>14282.564311964066</v>
      </c>
      <c r="F25" s="79">
        <f>+'A3'!F25/'A1'!F25/31*1000000</f>
        <v>14599.47053632709</v>
      </c>
      <c r="G25" s="79">
        <f>+'A3'!G25/'A1'!G25/31*1000000</f>
        <v>11580.483960523723</v>
      </c>
      <c r="H25" s="79">
        <f>+'A3'!H25/'A1'!H25/31*1000000</f>
        <v>11377.138727509926</v>
      </c>
      <c r="I25" s="79">
        <f>+'A3'!I25/'A1'!I25/31*1000000</f>
        <v>11678.09373946274</v>
      </c>
      <c r="J25" s="79">
        <f>+'A3'!J25/'A1'!J25/30*1000000</f>
        <v>12432.293010059324</v>
      </c>
      <c r="K25" s="79">
        <f>+'A3'!K25/'A1'!K25/31*1000000</f>
        <v>10784.445980810415</v>
      </c>
      <c r="L25" s="79">
        <f>+'A3'!L25/'A1'!L25/30*1000000</f>
        <v>11092.750533049038</v>
      </c>
      <c r="M25" s="79">
        <f>+'A3'!M25/'A1'!M25/31*1000000</f>
        <v>12243.93060594831</v>
      </c>
      <c r="N25" s="79">
        <f>AVERAGE(B25:M25)</f>
        <v>12757.586492185685</v>
      </c>
    </row>
    <row r="26" spans="1:14" ht="14.25">
      <c r="A26" s="81">
        <v>2021</v>
      </c>
      <c r="B26" s="79">
        <f>+'A3'!B26/'A1'!B26/31*1000000</f>
        <v>12261.378402183676</v>
      </c>
      <c r="C26" s="79">
        <f>+'A3'!C26/'A1'!C26/28*1000000</f>
        <v>12494.154781388825</v>
      </c>
      <c r="D26" s="79">
        <f>+'A3'!D26/'A1'!D26/31*1000000</f>
        <v>13275.64183293453</v>
      </c>
      <c r="E26" s="79">
        <f>+'A3'!E26/'A1'!E26/31*1000000</f>
        <v>11915.43230981048</v>
      </c>
      <c r="F26" s="79">
        <f>+'A3'!F26/'A1'!F26/31*1000000</f>
        <v>12908.670205526063</v>
      </c>
      <c r="G26" s="79">
        <f>+'A3'!G26/'A1'!G26/31*1000000</f>
        <v>13512.71387029147</v>
      </c>
      <c r="H26" s="79">
        <f>+'A3'!H26/'A1'!H26/31*1000000</f>
        <v>15570.397652677304</v>
      </c>
      <c r="I26" s="79">
        <f>+'A3'!I26/'A1'!I26/31*1000000</f>
        <v>15618.755352554954</v>
      </c>
      <c r="J26" s="79">
        <f>+'A3'!J26/'A1'!J26/30*1000000</f>
        <v>15699.134803237512</v>
      </c>
      <c r="K26" s="79">
        <f>+'A3'!K26/'A1'!K26/31*1000000</f>
        <v>15183.861563058404</v>
      </c>
      <c r="L26" s="79">
        <f>+'A3'!L26/'A1'!L26/30*1000000</f>
        <v>15897.142857142857</v>
      </c>
      <c r="M26" s="79">
        <f>+'A3'!M26/'A1'!M26/31*1000000</f>
        <v>14832.207491962577</v>
      </c>
      <c r="N26" s="79">
        <f>AVERAGE(B26:M26)</f>
        <v>14097.457593564055</v>
      </c>
    </row>
    <row r="27" spans="1:14" ht="14.25">
      <c r="A27" s="81">
        <v>2022</v>
      </c>
      <c r="B27" s="79">
        <f>+'A3'!B27/'A1'!B27/31*1000000</f>
        <v>13568.449395491263</v>
      </c>
      <c r="C27" s="79">
        <f>+'A3'!C27/'A1'!C27/28*1000000</f>
        <v>13454.415354827846</v>
      </c>
      <c r="D27" s="79">
        <f>+'A3'!D27/'A1'!D27/31*1000000</f>
        <v>13880.742913000977</v>
      </c>
      <c r="E27" s="79">
        <f>+'A3'!E27/'A1'!E27/31*1000000</f>
        <v>14668.611368931488</v>
      </c>
      <c r="F27" s="79">
        <f>+'A3'!F27/'A1'!F27/31*1000000</f>
        <v>16518.733423338024</v>
      </c>
      <c r="G27" s="79">
        <f>+'A3'!G27/'A1'!G27/31*1000000</f>
        <v>12871.036023293698</v>
      </c>
      <c r="H27" s="79">
        <f>+'A3'!H27/'A1'!H27/31*1000000</f>
        <v>12724.121906827246</v>
      </c>
      <c r="I27" s="79">
        <f>+'A3'!I27/'A1'!I27/31*1000000</f>
        <v>11886.425302162414</v>
      </c>
      <c r="J27" s="79">
        <f>+'A3'!J27/'A1'!J27/30*1000000</f>
        <v>12596.887986856094</v>
      </c>
      <c r="K27" s="79">
        <f>+'A3'!K27/'A1'!K27/31*1000000</f>
        <v>12497.055026245605</v>
      </c>
      <c r="L27" s="79">
        <f>+'A3'!L27/'A1'!L27/30*1000000</f>
        <v>12880.742913000977</v>
      </c>
      <c r="M27" s="79">
        <f>+'A3'!M27/'A1'!M27/31*1000000</f>
        <v>13042.618318813278</v>
      </c>
      <c r="N27" s="79">
        <f>AVERAGE(B27:M27)</f>
        <v>13382.486661065743</v>
      </c>
    </row>
    <row r="28" spans="1:14" ht="14.25">
      <c r="A28" s="81">
        <v>2023</v>
      </c>
      <c r="B28" s="79">
        <f>+'A3'!B28/'A1'!B28/31*1000000</f>
        <v>14491.676284747353</v>
      </c>
      <c r="C28" s="79">
        <f>+'A3'!C28/'A1'!C28/28*1000000</f>
        <v>15345.615233541115</v>
      </c>
      <c r="D28" s="79">
        <f>+'A3'!D28/'A1'!D28/31*1000000</f>
        <v>15802.576770318703</v>
      </c>
      <c r="E28" s="79">
        <f>+'A3'!E28/'A1'!E28/31*1000000</f>
        <v>15733.505273693125</v>
      </c>
      <c r="F28" s="79">
        <f>+'A3'!F28/'A1'!F28/31*1000000</f>
        <v>15041.897963306812</v>
      </c>
      <c r="G28" s="79">
        <f>+'A3'!G28/'A1'!G28/31*1000000</f>
        <v>13110.779198106802</v>
      </c>
      <c r="H28" s="79">
        <f>+'A3'!H28/'A1'!H28/31*1000000</f>
        <v>13665.58225218516</v>
      </c>
      <c r="I28" s="79">
        <f>+'A3'!I28/'A1'!I28/31*1000000</f>
        <v>13126.311925223792</v>
      </c>
      <c r="J28" s="79">
        <f>+'A3'!J28/'A1'!J28/30*1000000</f>
        <v>14829.892410584473</v>
      </c>
      <c r="K28" s="79">
        <f>+'A3'!K28/'A1'!K28/31*1000000</f>
        <v>13842.816927407815</v>
      </c>
      <c r="L28" s="79">
        <f>+'A3'!L28/'A1'!L28/30*1000000</f>
        <v>14114.627887082977</v>
      </c>
      <c r="M28" s="79">
        <f>+'A3'!M28/'A1'!M28/31*1000000</f>
        <v>12540.900268046953</v>
      </c>
      <c r="N28" s="79">
        <f>AVERAGE(B28:M28)</f>
        <v>14303.848532853757</v>
      </c>
    </row>
    <row r="29" spans="2:14" ht="14.2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2:14" ht="14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</sheetData>
  <sheetProtection/>
  <printOptions/>
  <pageMargins left="0.5" right="0.5" top="1" bottom="0.5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30"/>
  <sheetViews>
    <sheetView zoomScale="90" zoomScaleNormal="90" zoomScalePageLayoutView="0" workbookViewId="0" topLeftCell="A1">
      <selection activeCell="L29" sqref="L29"/>
    </sheetView>
  </sheetViews>
  <sheetFormatPr defaultColWidth="9.140625" defaultRowHeight="12.75"/>
  <cols>
    <col min="1" max="1" width="6.7109375" style="28" customWidth="1"/>
    <col min="2" max="13" width="9.140625" style="28" customWidth="1"/>
    <col min="14" max="14" width="9.00390625" style="28" customWidth="1"/>
    <col min="15" max="16384" width="9.140625" style="28" customWidth="1"/>
  </cols>
  <sheetData>
    <row r="1" ht="15.75">
      <c r="A1" s="36" t="s">
        <v>130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4"/>
      <c r="B4" s="101" t="s">
        <v>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4.25">
      <c r="A5" s="33">
        <v>2000</v>
      </c>
      <c r="B5" s="31">
        <v>1123.688061</v>
      </c>
      <c r="C5" s="31">
        <v>1057.524727</v>
      </c>
      <c r="D5" s="31">
        <v>1165.678021</v>
      </c>
      <c r="E5" s="31">
        <v>1104.797183</v>
      </c>
      <c r="F5" s="31">
        <v>1133.688318</v>
      </c>
      <c r="G5" s="31">
        <v>1114.460853</v>
      </c>
      <c r="H5" s="31">
        <v>1213.318545</v>
      </c>
      <c r="I5" s="31">
        <v>1184.684444</v>
      </c>
      <c r="J5" s="31">
        <v>1259.412433</v>
      </c>
      <c r="K5" s="31">
        <v>1313.325141</v>
      </c>
      <c r="L5" s="31">
        <v>1264.415826</v>
      </c>
      <c r="M5" s="31">
        <v>1245.776274</v>
      </c>
      <c r="N5" s="31">
        <f aca="true" t="shared" si="0" ref="N5:N22">AVERAGE(B5:M5)</f>
        <v>1181.7308188333334</v>
      </c>
    </row>
    <row r="6" spans="1:14" ht="14.25">
      <c r="A6" s="32">
        <v>2001</v>
      </c>
      <c r="B6" s="31">
        <v>1385.170073</v>
      </c>
      <c r="C6" s="31">
        <v>1195.216181</v>
      </c>
      <c r="D6" s="31">
        <v>1338.060562</v>
      </c>
      <c r="E6" s="31">
        <v>1306.014534</v>
      </c>
      <c r="F6" s="31">
        <v>1473.337818</v>
      </c>
      <c r="G6" s="31">
        <v>1585.679053</v>
      </c>
      <c r="H6" s="31">
        <v>1651.285013</v>
      </c>
      <c r="I6" s="31">
        <v>1539.609592</v>
      </c>
      <c r="J6" s="31">
        <v>1322.875145</v>
      </c>
      <c r="K6" s="31">
        <v>1424.68449</v>
      </c>
      <c r="L6" s="31">
        <v>1448.0798</v>
      </c>
      <c r="M6" s="31">
        <v>1558.633338</v>
      </c>
      <c r="N6" s="31">
        <f t="shared" si="0"/>
        <v>1435.7204665833333</v>
      </c>
    </row>
    <row r="7" spans="1:14" ht="14.25">
      <c r="A7" s="33">
        <v>2002</v>
      </c>
      <c r="B7" s="31">
        <v>1425.615458</v>
      </c>
      <c r="C7" s="31">
        <v>1473.522809</v>
      </c>
      <c r="D7" s="31">
        <v>1575.860729</v>
      </c>
      <c r="E7" s="31">
        <v>1557.399494</v>
      </c>
      <c r="F7" s="31">
        <v>1735.20932</v>
      </c>
      <c r="G7" s="31">
        <v>1629.156109</v>
      </c>
      <c r="H7" s="31">
        <v>1430.119931</v>
      </c>
      <c r="I7" s="31">
        <v>1359.531953</v>
      </c>
      <c r="J7" s="31">
        <v>1398.730126</v>
      </c>
      <c r="K7" s="31">
        <v>1469.727122</v>
      </c>
      <c r="L7" s="31">
        <v>1320.77998</v>
      </c>
      <c r="M7" s="31">
        <v>1363.662641</v>
      </c>
      <c r="N7" s="31">
        <f t="shared" si="0"/>
        <v>1478.276306</v>
      </c>
    </row>
    <row r="8" spans="1:14" ht="14.25">
      <c r="A8" s="32">
        <v>2003</v>
      </c>
      <c r="B8" s="31">
        <v>1462.85828</v>
      </c>
      <c r="C8" s="31">
        <v>1387.769213</v>
      </c>
      <c r="D8" s="31">
        <v>1456.79403</v>
      </c>
      <c r="E8" s="31">
        <v>1473.347141</v>
      </c>
      <c r="F8" s="31">
        <v>1533.494926</v>
      </c>
      <c r="G8" s="31">
        <v>1430.012107</v>
      </c>
      <c r="H8" s="31">
        <v>1018.281234</v>
      </c>
      <c r="I8" s="31">
        <v>1008.111693</v>
      </c>
      <c r="J8" s="31">
        <v>1006.231785</v>
      </c>
      <c r="K8" s="31">
        <v>1080.18032</v>
      </c>
      <c r="L8" s="31">
        <v>1437.527481</v>
      </c>
      <c r="M8" s="31">
        <v>1455.68247</v>
      </c>
      <c r="N8" s="31">
        <f t="shared" si="0"/>
        <v>1312.5242233333336</v>
      </c>
    </row>
    <row r="9" spans="1:14" ht="14.25">
      <c r="A9" s="33">
        <v>2004</v>
      </c>
      <c r="B9" s="31">
        <v>1513.107924</v>
      </c>
      <c r="C9" s="31">
        <v>1407.841805</v>
      </c>
      <c r="D9" s="31">
        <v>1297.378498</v>
      </c>
      <c r="E9" s="31">
        <v>873.28164</v>
      </c>
      <c r="F9" s="31">
        <v>919.098307</v>
      </c>
      <c r="G9" s="31">
        <v>1552.299804</v>
      </c>
      <c r="H9" s="31">
        <v>1487.386147</v>
      </c>
      <c r="I9" s="31">
        <v>1546.14704</v>
      </c>
      <c r="J9" s="31">
        <v>1336.478458</v>
      </c>
      <c r="K9" s="31">
        <v>1545.776602</v>
      </c>
      <c r="L9" s="31">
        <v>1476.727547</v>
      </c>
      <c r="M9" s="31">
        <v>984.384547</v>
      </c>
      <c r="N9" s="31">
        <f t="shared" si="0"/>
        <v>1328.32569325</v>
      </c>
    </row>
    <row r="10" spans="1:14" ht="14.25">
      <c r="A10" s="33">
        <v>2005</v>
      </c>
      <c r="B10" s="31">
        <v>1558.477661</v>
      </c>
      <c r="C10" s="31">
        <v>1189.845892</v>
      </c>
      <c r="D10" s="31">
        <v>1663.596635</v>
      </c>
      <c r="E10" s="31">
        <v>1468.801908</v>
      </c>
      <c r="F10" s="31">
        <v>1744.622754</v>
      </c>
      <c r="G10" s="31">
        <v>1628.662469</v>
      </c>
      <c r="H10" s="31">
        <v>1655.564072</v>
      </c>
      <c r="I10" s="31">
        <v>1417.051808</v>
      </c>
      <c r="J10" s="31">
        <v>1431.225167</v>
      </c>
      <c r="K10" s="31">
        <v>1453.146606</v>
      </c>
      <c r="L10" s="31">
        <v>1404.575613</v>
      </c>
      <c r="M10" s="31">
        <v>1444.522024</v>
      </c>
      <c r="N10" s="31">
        <f t="shared" si="0"/>
        <v>1505.007717416667</v>
      </c>
    </row>
    <row r="11" spans="1:14" ht="14.25">
      <c r="A11" s="33">
        <v>2006</v>
      </c>
      <c r="B11" s="31">
        <v>1512.291297</v>
      </c>
      <c r="C11" s="31">
        <v>1389.777359</v>
      </c>
      <c r="D11" s="31">
        <v>1543.715408</v>
      </c>
      <c r="E11" s="31">
        <v>1513.37777</v>
      </c>
      <c r="F11" s="31">
        <v>1577.915882</v>
      </c>
      <c r="G11" s="31">
        <v>1500.795573</v>
      </c>
      <c r="H11" s="31">
        <v>1501.732534</v>
      </c>
      <c r="I11" s="31">
        <v>1360.184978</v>
      </c>
      <c r="J11" s="31">
        <v>1259.663882</v>
      </c>
      <c r="K11" s="31">
        <v>1348.800953</v>
      </c>
      <c r="L11" s="31">
        <v>1307.338938</v>
      </c>
      <c r="M11" s="31">
        <v>1373.620417</v>
      </c>
      <c r="N11" s="31">
        <f t="shared" si="0"/>
        <v>1432.4345825833334</v>
      </c>
    </row>
    <row r="12" spans="1:14" ht="14.25">
      <c r="A12" s="33">
        <v>2007</v>
      </c>
      <c r="B12" s="31">
        <v>1471.729605</v>
      </c>
      <c r="C12" s="31">
        <v>1277.28916</v>
      </c>
      <c r="D12" s="31">
        <v>1432.421538</v>
      </c>
      <c r="E12" s="31">
        <v>1415.989829</v>
      </c>
      <c r="F12" s="31">
        <v>1424.349436</v>
      </c>
      <c r="G12" s="31">
        <v>1312.984998</v>
      </c>
      <c r="H12" s="31">
        <v>1467.601599</v>
      </c>
      <c r="I12" s="31">
        <v>1246.828477</v>
      </c>
      <c r="J12" s="31">
        <v>1305.395262</v>
      </c>
      <c r="K12" s="31">
        <v>1276.513398</v>
      </c>
      <c r="L12" s="31">
        <v>1261.21229</v>
      </c>
      <c r="M12" s="31">
        <v>1375.423599</v>
      </c>
      <c r="N12" s="31">
        <f t="shared" si="0"/>
        <v>1355.6449325833332</v>
      </c>
    </row>
    <row r="13" spans="1:14" ht="14.25">
      <c r="A13" s="32">
        <v>2008</v>
      </c>
      <c r="B13" s="31">
        <v>1469.451615</v>
      </c>
      <c r="C13" s="31">
        <v>1375.384851</v>
      </c>
      <c r="D13" s="31">
        <v>1288.357923</v>
      </c>
      <c r="E13" s="31">
        <v>1444.134345</v>
      </c>
      <c r="F13" s="31">
        <v>1230.457164</v>
      </c>
      <c r="G13" s="31">
        <v>1215.534097</v>
      </c>
      <c r="H13" s="31">
        <v>1389.175842</v>
      </c>
      <c r="I13" s="31">
        <v>1329.091798</v>
      </c>
      <c r="J13" s="31">
        <v>1253.144975</v>
      </c>
      <c r="K13" s="31">
        <v>1187.057798</v>
      </c>
      <c r="L13" s="31">
        <v>1300.007801</v>
      </c>
      <c r="M13" s="31">
        <v>1225.356282</v>
      </c>
      <c r="N13" s="31">
        <f t="shared" si="0"/>
        <v>1308.9295409166666</v>
      </c>
    </row>
    <row r="14" spans="1:14" ht="14.25">
      <c r="A14" s="33">
        <v>2009</v>
      </c>
      <c r="B14" s="31">
        <v>1392.063399</v>
      </c>
      <c r="C14" s="31">
        <v>1278.112153</v>
      </c>
      <c r="D14" s="31">
        <v>1406.841166</v>
      </c>
      <c r="E14" s="31">
        <v>1414.724439</v>
      </c>
      <c r="F14" s="31">
        <v>1493.509965</v>
      </c>
      <c r="G14" s="31">
        <v>1431.00205</v>
      </c>
      <c r="H14" s="31">
        <v>1460.290606</v>
      </c>
      <c r="I14" s="31">
        <v>1378.137376</v>
      </c>
      <c r="J14" s="31">
        <v>1306.238732</v>
      </c>
      <c r="K14" s="31">
        <v>1336.052064</v>
      </c>
      <c r="L14" s="31">
        <v>1308.154758</v>
      </c>
      <c r="M14" s="31">
        <v>1390.619859</v>
      </c>
      <c r="N14" s="31">
        <f t="shared" si="0"/>
        <v>1382.9788805833334</v>
      </c>
    </row>
    <row r="15" spans="1:14" ht="14.25">
      <c r="A15" s="32">
        <v>2010</v>
      </c>
      <c r="B15" s="31">
        <v>1415.799491</v>
      </c>
      <c r="C15" s="31">
        <v>1259.226193</v>
      </c>
      <c r="D15" s="31">
        <v>1474.823411</v>
      </c>
      <c r="E15" s="31">
        <v>1453.401846</v>
      </c>
      <c r="F15" s="31">
        <v>1411.235592</v>
      </c>
      <c r="G15" s="31">
        <v>1321.21693</v>
      </c>
      <c r="H15" s="31">
        <v>1277.590271</v>
      </c>
      <c r="I15" s="31">
        <v>1263.877616</v>
      </c>
      <c r="J15" s="31">
        <v>1251.933503</v>
      </c>
      <c r="K15" s="31">
        <v>1358.745128</v>
      </c>
      <c r="L15" s="31">
        <v>1225.999299</v>
      </c>
      <c r="M15" s="31">
        <v>1307.767293</v>
      </c>
      <c r="N15" s="31">
        <f t="shared" si="0"/>
        <v>1335.1347144166666</v>
      </c>
    </row>
    <row r="16" spans="1:14" ht="14.25">
      <c r="A16" s="33">
        <v>2011</v>
      </c>
      <c r="B16" s="31">
        <v>1245.526558</v>
      </c>
      <c r="C16" s="31">
        <v>1214.965582</v>
      </c>
      <c r="D16" s="31">
        <v>1423.099147</v>
      </c>
      <c r="E16" s="31">
        <v>1298.089812</v>
      </c>
      <c r="F16" s="31">
        <v>1232.64394</v>
      </c>
      <c r="G16" s="31">
        <v>1283.547953</v>
      </c>
      <c r="H16" s="31">
        <v>1400.000023</v>
      </c>
      <c r="I16" s="31">
        <v>1412.356994</v>
      </c>
      <c r="J16" s="31">
        <v>1307.237988</v>
      </c>
      <c r="K16" s="31">
        <v>1410.726488</v>
      </c>
      <c r="L16" s="31">
        <v>1344.979445</v>
      </c>
      <c r="M16" s="31">
        <v>1365.309817</v>
      </c>
      <c r="N16" s="31">
        <f t="shared" si="0"/>
        <v>1328.2069789166667</v>
      </c>
    </row>
    <row r="17" spans="1:14" ht="14.25">
      <c r="A17" s="32">
        <v>2012</v>
      </c>
      <c r="B17" s="31">
        <v>1522.222475</v>
      </c>
      <c r="C17" s="31">
        <v>1469.717201</v>
      </c>
      <c r="D17" s="31">
        <v>1557.717411</v>
      </c>
      <c r="E17" s="31">
        <v>1543.000366</v>
      </c>
      <c r="F17" s="31">
        <v>1594.105058</v>
      </c>
      <c r="G17" s="31">
        <v>1414.449487</v>
      </c>
      <c r="H17" s="31">
        <v>1259.259554</v>
      </c>
      <c r="I17" s="31">
        <v>1287.445189</v>
      </c>
      <c r="J17" s="31">
        <v>1189.836368</v>
      </c>
      <c r="K17" s="31">
        <v>1215.015381</v>
      </c>
      <c r="L17" s="31">
        <v>1309.285737</v>
      </c>
      <c r="M17" s="31">
        <v>1443.751496</v>
      </c>
      <c r="N17" s="31">
        <f t="shared" si="0"/>
        <v>1400.48381025</v>
      </c>
    </row>
    <row r="18" spans="1:14" ht="14.25">
      <c r="A18" s="33">
        <v>2013</v>
      </c>
      <c r="B18" s="31">
        <v>1532.777106</v>
      </c>
      <c r="C18" s="31">
        <v>1365.27426</v>
      </c>
      <c r="D18" s="31">
        <v>1436.727068</v>
      </c>
      <c r="E18" s="31">
        <v>1416.745282</v>
      </c>
      <c r="F18" s="31">
        <v>1568.270377</v>
      </c>
      <c r="G18" s="31">
        <v>1413.364673</v>
      </c>
      <c r="H18" s="31">
        <v>1351.589886</v>
      </c>
      <c r="I18" s="31">
        <v>1416.019046</v>
      </c>
      <c r="J18" s="31">
        <v>1299.520607</v>
      </c>
      <c r="K18" s="31">
        <v>1328.478868</v>
      </c>
      <c r="L18" s="31">
        <v>1305.935896</v>
      </c>
      <c r="M18" s="31">
        <v>1284.417068</v>
      </c>
      <c r="N18" s="31">
        <f t="shared" si="0"/>
        <v>1393.2600114166664</v>
      </c>
    </row>
    <row r="19" spans="1:14" ht="14.25">
      <c r="A19" s="32">
        <v>2014</v>
      </c>
      <c r="B19" s="31">
        <v>1322.079072</v>
      </c>
      <c r="C19" s="31">
        <v>1296.733166</v>
      </c>
      <c r="D19" s="31">
        <v>1448.153284</v>
      </c>
      <c r="E19" s="31">
        <v>1420.814566</v>
      </c>
      <c r="F19" s="31">
        <v>1540.856304</v>
      </c>
      <c r="G19" s="31">
        <v>1389.087977</v>
      </c>
      <c r="H19" s="31">
        <v>1419.711714</v>
      </c>
      <c r="I19" s="31">
        <v>1456.222838</v>
      </c>
      <c r="J19" s="31">
        <v>1468.625531</v>
      </c>
      <c r="K19" s="31">
        <v>1418.685899</v>
      </c>
      <c r="L19" s="31">
        <v>1446.784506</v>
      </c>
      <c r="M19" s="31">
        <v>1669.306845</v>
      </c>
      <c r="N19" s="31">
        <f t="shared" si="0"/>
        <v>1441.4218085</v>
      </c>
    </row>
    <row r="20" spans="1:14" ht="14.25">
      <c r="A20" s="33">
        <v>2015</v>
      </c>
      <c r="B20" s="31">
        <v>1688.999873</v>
      </c>
      <c r="C20" s="31">
        <v>1570.799857</v>
      </c>
      <c r="D20" s="31">
        <v>1559.653695</v>
      </c>
      <c r="E20" s="31">
        <v>1492.597467</v>
      </c>
      <c r="F20" s="31">
        <v>1486.636922</v>
      </c>
      <c r="G20" s="31">
        <v>1434.365315</v>
      </c>
      <c r="H20" s="31">
        <v>1437.35924</v>
      </c>
      <c r="I20" s="31">
        <v>1426.751841</v>
      </c>
      <c r="J20" s="31">
        <v>1560.463965</v>
      </c>
      <c r="K20" s="31">
        <v>1651.382575</v>
      </c>
      <c r="L20" s="31">
        <v>1492.371853</v>
      </c>
      <c r="M20" s="31">
        <v>1574.98415</v>
      </c>
      <c r="N20" s="31">
        <f t="shared" si="0"/>
        <v>1531.3638960833332</v>
      </c>
    </row>
    <row r="21" spans="1:14" ht="14.25">
      <c r="A21" s="32">
        <v>2016</v>
      </c>
      <c r="B21" s="31">
        <v>1704.817838</v>
      </c>
      <c r="C21" s="31">
        <v>1601.59651</v>
      </c>
      <c r="D21" s="31">
        <v>1766.053455</v>
      </c>
      <c r="E21" s="31">
        <v>1745.075224</v>
      </c>
      <c r="F21" s="31">
        <v>1825.642191</v>
      </c>
      <c r="G21" s="31">
        <v>1647.904929</v>
      </c>
      <c r="H21" s="31">
        <v>1686.148047</v>
      </c>
      <c r="I21" s="31">
        <v>1501.689664</v>
      </c>
      <c r="J21" s="31">
        <v>1500.548842</v>
      </c>
      <c r="K21" s="31">
        <v>1691.45474</v>
      </c>
      <c r="L21" s="31">
        <v>1444.379744</v>
      </c>
      <c r="M21" s="31">
        <v>1540.108274</v>
      </c>
      <c r="N21" s="31">
        <f t="shared" si="0"/>
        <v>1637.9516215</v>
      </c>
    </row>
    <row r="22" spans="1:14" ht="14.25">
      <c r="A22" s="33">
        <v>2017</v>
      </c>
      <c r="B22" s="31">
        <v>1742.125556</v>
      </c>
      <c r="C22" s="31">
        <v>1609.680253</v>
      </c>
      <c r="D22" s="31">
        <v>1855.738364</v>
      </c>
      <c r="E22" s="31">
        <v>1842.610189</v>
      </c>
      <c r="F22" s="31">
        <v>1735.583069</v>
      </c>
      <c r="G22" s="31">
        <v>1776.85976</v>
      </c>
      <c r="H22" s="31">
        <v>1711.9</v>
      </c>
      <c r="I22" s="31">
        <v>1669.2</v>
      </c>
      <c r="J22" s="31">
        <v>1616.425009</v>
      </c>
      <c r="K22" s="31">
        <v>1533.871279</v>
      </c>
      <c r="L22" s="31">
        <v>1486.281964</v>
      </c>
      <c r="M22" s="31">
        <v>1660.875929</v>
      </c>
      <c r="N22" s="31">
        <f t="shared" si="0"/>
        <v>1686.7626143333337</v>
      </c>
    </row>
    <row r="23" spans="1:14" ht="14.25">
      <c r="A23" s="32">
        <v>2018</v>
      </c>
      <c r="B23" s="31">
        <v>1703.220564</v>
      </c>
      <c r="C23" s="31">
        <v>1605.254067</v>
      </c>
      <c r="D23" s="31">
        <v>1614.293254</v>
      </c>
      <c r="E23" s="31">
        <v>1675.64842</v>
      </c>
      <c r="F23" s="31">
        <v>1673.788452</v>
      </c>
      <c r="G23" s="31">
        <v>1727.990978</v>
      </c>
      <c r="H23" s="31">
        <v>1664.7</v>
      </c>
      <c r="I23" s="31">
        <v>1669.3</v>
      </c>
      <c r="J23" s="31">
        <v>1461.8</v>
      </c>
      <c r="K23" s="31">
        <v>1647.4</v>
      </c>
      <c r="L23" s="31">
        <v>1554.8</v>
      </c>
      <c r="M23" s="31">
        <v>1574.8</v>
      </c>
      <c r="N23" s="31">
        <f aca="true" t="shared" si="1" ref="N23:N28">AVERAGE(B23:M23)</f>
        <v>1631.0829779166668</v>
      </c>
    </row>
    <row r="24" spans="1:14" ht="14.25">
      <c r="A24" s="32">
        <v>2019</v>
      </c>
      <c r="B24" s="31">
        <v>1541.119774</v>
      </c>
      <c r="C24" s="31">
        <v>1477.089023</v>
      </c>
      <c r="D24" s="31">
        <v>1664.5</v>
      </c>
      <c r="E24" s="31">
        <v>1652.5</v>
      </c>
      <c r="F24" s="31">
        <v>1823</v>
      </c>
      <c r="G24" s="31">
        <v>1691.6</v>
      </c>
      <c r="H24" s="31">
        <v>1700.2</v>
      </c>
      <c r="I24" s="31">
        <v>1656.5</v>
      </c>
      <c r="J24" s="31">
        <v>1425.09</v>
      </c>
      <c r="K24" s="31">
        <v>1457.7</v>
      </c>
      <c r="L24" s="31">
        <v>1323.2</v>
      </c>
      <c r="M24" s="31">
        <v>1529.2</v>
      </c>
      <c r="N24" s="31">
        <f t="shared" si="1"/>
        <v>1578.47489975</v>
      </c>
    </row>
    <row r="25" spans="1:14" ht="14.25">
      <c r="A25" s="34">
        <v>2020</v>
      </c>
      <c r="B25" s="82">
        <v>1745.1</v>
      </c>
      <c r="C25" s="82">
        <v>1703.6</v>
      </c>
      <c r="D25" s="82">
        <v>1747.7</v>
      </c>
      <c r="E25" s="82">
        <v>1748.9</v>
      </c>
      <c r="F25" s="82">
        <v>1786.8</v>
      </c>
      <c r="G25" s="82">
        <v>1293.1</v>
      </c>
      <c r="H25" s="82">
        <v>1212.2</v>
      </c>
      <c r="I25" s="82">
        <v>1350.7</v>
      </c>
      <c r="J25" s="82">
        <v>1446</v>
      </c>
      <c r="K25" s="82">
        <v>1279.1</v>
      </c>
      <c r="L25" s="82">
        <v>1248.6</v>
      </c>
      <c r="M25" s="82">
        <v>1420.7</v>
      </c>
      <c r="N25" s="82">
        <f t="shared" si="1"/>
        <v>1498.5416666666667</v>
      </c>
    </row>
    <row r="26" spans="1:14" ht="14.25">
      <c r="A26" s="34">
        <v>2021</v>
      </c>
      <c r="B26" s="82">
        <v>1406</v>
      </c>
      <c r="C26" s="82">
        <v>1282.5</v>
      </c>
      <c r="D26" s="82">
        <v>1475.8</v>
      </c>
      <c r="E26" s="82">
        <v>1289.5</v>
      </c>
      <c r="F26" s="82">
        <v>1422.6</v>
      </c>
      <c r="G26" s="82">
        <v>1598.5</v>
      </c>
      <c r="H26" s="82">
        <v>1767.1</v>
      </c>
      <c r="I26" s="82">
        <v>1750.8</v>
      </c>
      <c r="J26" s="82">
        <v>1687.5</v>
      </c>
      <c r="K26" s="82">
        <v>1614.5</v>
      </c>
      <c r="L26" s="82">
        <v>1669.2</v>
      </c>
      <c r="M26" s="82">
        <v>1642.4</v>
      </c>
      <c r="N26" s="82">
        <f t="shared" si="1"/>
        <v>1550.5333333333335</v>
      </c>
    </row>
    <row r="27" spans="1:14" ht="14.25">
      <c r="A27" s="34">
        <v>2022</v>
      </c>
      <c r="B27" s="82">
        <v>1542</v>
      </c>
      <c r="C27" s="82">
        <v>1278.6</v>
      </c>
      <c r="D27" s="82">
        <v>1434.2</v>
      </c>
      <c r="E27" s="82">
        <v>1548.8</v>
      </c>
      <c r="F27" s="82">
        <v>1725.2</v>
      </c>
      <c r="G27" s="82">
        <v>1319.5</v>
      </c>
      <c r="H27" s="82">
        <v>1314.3</v>
      </c>
      <c r="I27" s="82">
        <v>1301.1</v>
      </c>
      <c r="J27" s="82">
        <v>1303.4</v>
      </c>
      <c r="K27" s="82">
        <v>1326.1</v>
      </c>
      <c r="L27" s="82">
        <v>1317.7</v>
      </c>
      <c r="M27" s="82">
        <v>1384.8</v>
      </c>
      <c r="N27" s="82">
        <f t="shared" si="1"/>
        <v>1399.6416666666667</v>
      </c>
    </row>
    <row r="28" spans="1:14" ht="14.25">
      <c r="A28" s="34">
        <v>2023</v>
      </c>
      <c r="B28" s="82">
        <v>1481.6</v>
      </c>
      <c r="C28" s="82">
        <v>1437.7</v>
      </c>
      <c r="D28" s="82">
        <v>1631.3</v>
      </c>
      <c r="E28" s="82">
        <v>1634.9</v>
      </c>
      <c r="F28" s="82">
        <v>1563.5</v>
      </c>
      <c r="G28" s="82">
        <v>1351.8</v>
      </c>
      <c r="H28" s="82">
        <v>1394.6</v>
      </c>
      <c r="I28" s="82">
        <v>1394.5</v>
      </c>
      <c r="J28" s="82">
        <v>1530</v>
      </c>
      <c r="K28" s="82">
        <v>1499.8</v>
      </c>
      <c r="L28" s="82">
        <v>1485</v>
      </c>
      <c r="M28" s="82">
        <v>1356.8</v>
      </c>
      <c r="N28" s="82">
        <f t="shared" si="1"/>
        <v>1480.1249999999998</v>
      </c>
    </row>
    <row r="29" spans="2:14" ht="14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4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66"/>
  <sheetViews>
    <sheetView zoomScale="90" zoomScaleNormal="90" zoomScalePageLayoutView="0" workbookViewId="0" topLeftCell="A1">
      <selection activeCell="M29" sqref="M29"/>
    </sheetView>
  </sheetViews>
  <sheetFormatPr defaultColWidth="9.140625" defaultRowHeight="12.75"/>
  <cols>
    <col min="1" max="1" width="6.7109375" style="28" customWidth="1"/>
    <col min="2" max="14" width="9.140625" style="28" customWidth="1"/>
    <col min="15" max="15" width="11.28125" style="28" bestFit="1" customWidth="1"/>
    <col min="16" max="16384" width="9.140625" style="28" customWidth="1"/>
  </cols>
  <sheetData>
    <row r="1" ht="15.75">
      <c r="A1" s="36" t="s">
        <v>131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4"/>
      <c r="B4" s="101" t="s">
        <v>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4.25">
      <c r="A5" s="33">
        <v>2000</v>
      </c>
      <c r="B5" s="31">
        <v>584.035388</v>
      </c>
      <c r="C5" s="31">
        <v>549.647756</v>
      </c>
      <c r="D5" s="31">
        <v>586.081627</v>
      </c>
      <c r="E5" s="31">
        <v>523.072593</v>
      </c>
      <c r="F5" s="31">
        <v>556.332866</v>
      </c>
      <c r="G5" s="31">
        <v>521.550237</v>
      </c>
      <c r="H5" s="31">
        <v>514.292295</v>
      </c>
      <c r="I5" s="31">
        <v>578.774936</v>
      </c>
      <c r="J5" s="31">
        <v>577.626147</v>
      </c>
      <c r="K5" s="31">
        <v>568.995031</v>
      </c>
      <c r="L5" s="31">
        <v>577.879415</v>
      </c>
      <c r="M5" s="31">
        <v>577.955861</v>
      </c>
      <c r="N5" s="31">
        <f>AVERAGE(B5:M5)</f>
        <v>559.6870126666666</v>
      </c>
    </row>
    <row r="6" spans="1:14" ht="14.25">
      <c r="A6" s="32">
        <v>2001</v>
      </c>
      <c r="B6" s="31">
        <v>588.145534</v>
      </c>
      <c r="C6" s="31">
        <v>518.605272</v>
      </c>
      <c r="D6" s="31">
        <v>592.463438</v>
      </c>
      <c r="E6" s="31">
        <v>524.283551</v>
      </c>
      <c r="F6" s="31">
        <v>549.295818</v>
      </c>
      <c r="G6" s="31">
        <v>509.434633</v>
      </c>
      <c r="H6" s="31">
        <v>510.543909</v>
      </c>
      <c r="I6" s="31">
        <v>571.871697</v>
      </c>
      <c r="J6" s="31">
        <v>542.241897</v>
      </c>
      <c r="K6" s="31">
        <v>592.392976</v>
      </c>
      <c r="L6" s="31">
        <v>571.431821</v>
      </c>
      <c r="M6" s="31">
        <v>561.956031</v>
      </c>
      <c r="N6" s="31">
        <f aca="true" t="shared" si="0" ref="N6:N25">AVERAGE(B6:M6)</f>
        <v>552.72221475</v>
      </c>
    </row>
    <row r="7" spans="1:14" ht="14.25">
      <c r="A7" s="33">
        <v>2002</v>
      </c>
      <c r="B7" s="31">
        <v>577.9487</v>
      </c>
      <c r="C7" s="31">
        <v>514.236888</v>
      </c>
      <c r="D7" s="31">
        <v>550.370128</v>
      </c>
      <c r="E7" s="31">
        <v>537.590322</v>
      </c>
      <c r="F7" s="31">
        <v>557.213855</v>
      </c>
      <c r="G7" s="31">
        <v>476.322041</v>
      </c>
      <c r="H7" s="31">
        <v>522.927772</v>
      </c>
      <c r="I7" s="31">
        <v>565.655731</v>
      </c>
      <c r="J7" s="31">
        <v>541.081587</v>
      </c>
      <c r="K7" s="31">
        <v>590.239818</v>
      </c>
      <c r="L7" s="31">
        <v>568.214637</v>
      </c>
      <c r="M7" s="31">
        <v>550.728218</v>
      </c>
      <c r="N7" s="31">
        <f t="shared" si="0"/>
        <v>546.0441414166667</v>
      </c>
    </row>
    <row r="8" spans="1:14" ht="14.25">
      <c r="A8" s="32">
        <v>2003</v>
      </c>
      <c r="B8" s="31">
        <v>596.358626</v>
      </c>
      <c r="C8" s="31">
        <v>521.750579</v>
      </c>
      <c r="D8" s="31">
        <v>545.0813</v>
      </c>
      <c r="E8" s="31">
        <v>533.093972</v>
      </c>
      <c r="F8" s="31">
        <v>562.541795</v>
      </c>
      <c r="G8" s="31">
        <v>485.359467</v>
      </c>
      <c r="H8" s="31">
        <v>521.934709</v>
      </c>
      <c r="I8" s="31">
        <v>542.569459</v>
      </c>
      <c r="J8" s="31">
        <v>550.838376</v>
      </c>
      <c r="K8" s="31">
        <v>585.797108</v>
      </c>
      <c r="L8" s="31">
        <v>539.191389</v>
      </c>
      <c r="M8" s="31">
        <v>561.523971</v>
      </c>
      <c r="N8" s="31">
        <f t="shared" si="0"/>
        <v>545.5033959166666</v>
      </c>
    </row>
    <row r="9" spans="1:14" ht="14.25">
      <c r="A9" s="32">
        <v>2004</v>
      </c>
      <c r="B9" s="31">
        <v>584.110066</v>
      </c>
      <c r="C9" s="31">
        <v>511.233744</v>
      </c>
      <c r="D9" s="31">
        <v>577.389923</v>
      </c>
      <c r="E9" s="31">
        <v>544.176827</v>
      </c>
      <c r="F9" s="31">
        <v>501.647867</v>
      </c>
      <c r="G9" s="31">
        <v>473.74765</v>
      </c>
      <c r="H9" s="31">
        <v>520.455931</v>
      </c>
      <c r="I9" s="31">
        <v>534.044205</v>
      </c>
      <c r="J9" s="31">
        <v>556.136701</v>
      </c>
      <c r="K9" s="31">
        <v>553.822137</v>
      </c>
      <c r="L9" s="31">
        <v>562.288574</v>
      </c>
      <c r="M9" s="31">
        <v>573.857655</v>
      </c>
      <c r="N9" s="31">
        <f t="shared" si="0"/>
        <v>541.0759400000001</v>
      </c>
    </row>
    <row r="10" spans="1:14" ht="14.25">
      <c r="A10" s="32">
        <v>2005</v>
      </c>
      <c r="B10" s="31">
        <v>552.528918</v>
      </c>
      <c r="C10" s="31">
        <v>511.294124</v>
      </c>
      <c r="D10" s="31">
        <v>547.305523</v>
      </c>
      <c r="E10" s="31">
        <v>535.461691</v>
      </c>
      <c r="F10" s="31">
        <v>527.061177</v>
      </c>
      <c r="G10" s="31">
        <v>483.526838</v>
      </c>
      <c r="H10" s="31">
        <v>497.080587</v>
      </c>
      <c r="I10" s="31">
        <v>556.332146</v>
      </c>
      <c r="J10" s="31">
        <v>576.314008</v>
      </c>
      <c r="K10" s="31">
        <v>564.763854</v>
      </c>
      <c r="L10" s="31">
        <v>561.815227</v>
      </c>
      <c r="M10" s="31">
        <v>570.620244</v>
      </c>
      <c r="N10" s="31">
        <f t="shared" si="0"/>
        <v>540.3420280833333</v>
      </c>
    </row>
    <row r="11" spans="1:14" ht="14.25">
      <c r="A11" s="33">
        <v>2006</v>
      </c>
      <c r="B11" s="31">
        <v>572.957717</v>
      </c>
      <c r="C11" s="31">
        <v>524.233972</v>
      </c>
      <c r="D11" s="31">
        <v>585.895222</v>
      </c>
      <c r="E11" s="31">
        <v>517.142187</v>
      </c>
      <c r="F11" s="31">
        <v>559.179407</v>
      </c>
      <c r="G11" s="31">
        <v>505.810066</v>
      </c>
      <c r="H11" s="31">
        <v>499.916839</v>
      </c>
      <c r="I11" s="31">
        <v>557.217072</v>
      </c>
      <c r="J11" s="31">
        <v>578.527025</v>
      </c>
      <c r="K11" s="31">
        <v>571.895593</v>
      </c>
      <c r="L11" s="31">
        <v>572.818603</v>
      </c>
      <c r="M11" s="31">
        <v>558.886853</v>
      </c>
      <c r="N11" s="31">
        <f t="shared" si="0"/>
        <v>550.3733796666667</v>
      </c>
    </row>
    <row r="12" spans="1:14" ht="14.25">
      <c r="A12" s="32">
        <v>2007</v>
      </c>
      <c r="B12" s="31">
        <v>587.545982</v>
      </c>
      <c r="C12" s="31">
        <v>530.715634</v>
      </c>
      <c r="D12" s="31">
        <v>586.809026</v>
      </c>
      <c r="E12" s="31">
        <v>530.133968</v>
      </c>
      <c r="F12" s="31">
        <v>546.879168</v>
      </c>
      <c r="G12" s="31">
        <v>492.901234</v>
      </c>
      <c r="H12" s="31">
        <v>498.402831</v>
      </c>
      <c r="I12" s="31">
        <v>556.449184</v>
      </c>
      <c r="J12" s="31">
        <v>532.172648</v>
      </c>
      <c r="K12" s="31">
        <v>582.334065</v>
      </c>
      <c r="L12" s="31">
        <v>571.301396</v>
      </c>
      <c r="M12" s="31">
        <v>555.701733</v>
      </c>
      <c r="N12" s="31">
        <f t="shared" si="0"/>
        <v>547.6122390833333</v>
      </c>
    </row>
    <row r="13" spans="1:14" ht="14.25">
      <c r="A13" s="33">
        <v>2008</v>
      </c>
      <c r="B13" s="31">
        <v>571.140398</v>
      </c>
      <c r="C13" s="31">
        <v>536.362707</v>
      </c>
      <c r="D13" s="31">
        <v>551.305858</v>
      </c>
      <c r="E13" s="31">
        <v>536.615106</v>
      </c>
      <c r="F13" s="31">
        <v>565.473299</v>
      </c>
      <c r="G13" s="31">
        <v>477.717328</v>
      </c>
      <c r="H13" s="31">
        <v>505.556387</v>
      </c>
      <c r="I13" s="31">
        <v>538.398156</v>
      </c>
      <c r="J13" s="31">
        <v>566.415597</v>
      </c>
      <c r="K13" s="31">
        <v>601.541022</v>
      </c>
      <c r="L13" s="31">
        <v>551.264947</v>
      </c>
      <c r="M13" s="31">
        <v>586.566033</v>
      </c>
      <c r="N13" s="31">
        <f t="shared" si="0"/>
        <v>549.0297365</v>
      </c>
    </row>
    <row r="14" spans="1:14" ht="14.25">
      <c r="A14" s="32">
        <v>2009</v>
      </c>
      <c r="B14" s="31">
        <v>591.435506</v>
      </c>
      <c r="C14" s="31">
        <v>542.128967</v>
      </c>
      <c r="D14" s="31">
        <v>574.05375</v>
      </c>
      <c r="E14" s="31">
        <v>559.71277</v>
      </c>
      <c r="F14" s="31">
        <v>563.644457</v>
      </c>
      <c r="G14" s="31">
        <v>528.269044</v>
      </c>
      <c r="H14" s="31">
        <v>552.723951</v>
      </c>
      <c r="I14" s="31">
        <v>557.383267</v>
      </c>
      <c r="J14" s="31">
        <v>571.376311</v>
      </c>
      <c r="K14" s="31">
        <v>618.054003</v>
      </c>
      <c r="L14" s="31">
        <v>575.772454</v>
      </c>
      <c r="M14" s="31">
        <v>606.113007</v>
      </c>
      <c r="N14" s="31">
        <f t="shared" si="0"/>
        <v>570.0556239166666</v>
      </c>
    </row>
    <row r="15" spans="1:14" ht="14.25">
      <c r="A15" s="33">
        <v>2010</v>
      </c>
      <c r="B15" s="31">
        <v>585.181978</v>
      </c>
      <c r="C15" s="31">
        <v>546.619307</v>
      </c>
      <c r="D15" s="31">
        <v>591.780388</v>
      </c>
      <c r="E15" s="31">
        <v>539.146129</v>
      </c>
      <c r="F15" s="31">
        <v>525.555639</v>
      </c>
      <c r="G15" s="31">
        <v>480.14908</v>
      </c>
      <c r="H15" s="31">
        <v>506.431777</v>
      </c>
      <c r="I15" s="31">
        <v>526.439717</v>
      </c>
      <c r="J15" s="31">
        <v>544.532112</v>
      </c>
      <c r="K15" s="31">
        <v>546.61653</v>
      </c>
      <c r="L15" s="31">
        <v>557.114017</v>
      </c>
      <c r="M15" s="31">
        <v>558.58566</v>
      </c>
      <c r="N15" s="31">
        <f t="shared" si="0"/>
        <v>542.3460278333333</v>
      </c>
    </row>
    <row r="16" spans="1:14" ht="14.25">
      <c r="A16" s="32">
        <v>2011</v>
      </c>
      <c r="B16" s="31">
        <v>555.864003</v>
      </c>
      <c r="C16" s="31">
        <v>503.815796</v>
      </c>
      <c r="D16" s="31">
        <v>581.449205</v>
      </c>
      <c r="E16" s="31">
        <v>525.628481</v>
      </c>
      <c r="F16" s="31">
        <v>518.594738</v>
      </c>
      <c r="G16" s="31">
        <v>466.46334</v>
      </c>
      <c r="H16" s="31">
        <v>474.222508</v>
      </c>
      <c r="I16" s="31">
        <v>534.314393</v>
      </c>
      <c r="J16" s="31">
        <v>542.862748</v>
      </c>
      <c r="K16" s="31">
        <v>537.707158</v>
      </c>
      <c r="L16" s="31">
        <v>540.40139</v>
      </c>
      <c r="M16" s="31">
        <v>551.224698</v>
      </c>
      <c r="N16" s="31">
        <f t="shared" si="0"/>
        <v>527.7123714999999</v>
      </c>
    </row>
    <row r="17" spans="1:14" ht="14.25">
      <c r="A17" s="33">
        <v>2012</v>
      </c>
      <c r="B17" s="31">
        <v>551.640342</v>
      </c>
      <c r="C17" s="31">
        <v>509.384687</v>
      </c>
      <c r="D17" s="31">
        <v>534.204412</v>
      </c>
      <c r="E17" s="31">
        <v>501.017444</v>
      </c>
      <c r="F17" s="31">
        <v>511.568966</v>
      </c>
      <c r="G17" s="31">
        <v>464.017441</v>
      </c>
      <c r="H17" s="31">
        <v>472.529461</v>
      </c>
      <c r="I17" s="31">
        <v>515.257161</v>
      </c>
      <c r="J17" s="31">
        <v>481.107647</v>
      </c>
      <c r="K17" s="31">
        <v>575.999248</v>
      </c>
      <c r="L17" s="31">
        <v>560.60483</v>
      </c>
      <c r="M17" s="31">
        <v>540.266186</v>
      </c>
      <c r="N17" s="31">
        <f t="shared" si="0"/>
        <v>518.1331520833334</v>
      </c>
    </row>
    <row r="18" spans="1:14" ht="14.25">
      <c r="A18" s="32">
        <v>2013</v>
      </c>
      <c r="B18" s="31">
        <v>564.184689</v>
      </c>
      <c r="C18" s="31">
        <v>508.579409</v>
      </c>
      <c r="D18" s="31">
        <v>547.743681</v>
      </c>
      <c r="E18" s="31">
        <v>538.074692</v>
      </c>
      <c r="F18" s="31">
        <v>539.206773</v>
      </c>
      <c r="G18" s="31">
        <v>472.445151</v>
      </c>
      <c r="H18" s="31">
        <v>515.01152</v>
      </c>
      <c r="I18" s="31">
        <v>553.527776</v>
      </c>
      <c r="J18" s="31">
        <v>530.305207</v>
      </c>
      <c r="K18" s="31">
        <v>576.503124</v>
      </c>
      <c r="L18" s="31">
        <v>556.102511</v>
      </c>
      <c r="M18" s="31">
        <v>546.733164</v>
      </c>
      <c r="N18" s="31">
        <f t="shared" si="0"/>
        <v>537.3681414166667</v>
      </c>
    </row>
    <row r="19" spans="1:14" ht="14.25">
      <c r="A19" s="33">
        <v>2014</v>
      </c>
      <c r="B19" s="31">
        <v>566.300742</v>
      </c>
      <c r="C19" s="31">
        <v>501.543877</v>
      </c>
      <c r="D19" s="31">
        <v>528.832468</v>
      </c>
      <c r="E19" s="31">
        <v>511.965846</v>
      </c>
      <c r="F19" s="31">
        <v>513.558862</v>
      </c>
      <c r="G19" s="31">
        <v>467.110489</v>
      </c>
      <c r="H19" s="31">
        <v>495.583392</v>
      </c>
      <c r="I19" s="31">
        <v>515.52458</v>
      </c>
      <c r="J19" s="31">
        <v>526.56858</v>
      </c>
      <c r="K19" s="31">
        <v>548.877228</v>
      </c>
      <c r="L19" s="31">
        <v>523.346898</v>
      </c>
      <c r="M19" s="31">
        <v>545.316387</v>
      </c>
      <c r="N19" s="31">
        <f t="shared" si="0"/>
        <v>520.37744575</v>
      </c>
    </row>
    <row r="20" spans="1:14" ht="14.25">
      <c r="A20" s="32">
        <v>2015</v>
      </c>
      <c r="B20" s="31">
        <v>559.300376</v>
      </c>
      <c r="C20" s="31">
        <v>493.758861</v>
      </c>
      <c r="D20" s="31">
        <v>528.668978</v>
      </c>
      <c r="E20" s="31">
        <v>511.390589</v>
      </c>
      <c r="F20" s="31">
        <v>501.399078</v>
      </c>
      <c r="G20" s="31">
        <v>484.648553</v>
      </c>
      <c r="H20" s="31">
        <v>507.898905</v>
      </c>
      <c r="I20" s="31">
        <v>522.631254</v>
      </c>
      <c r="J20" s="31">
        <v>521.387266</v>
      </c>
      <c r="K20" s="31">
        <v>561.644832</v>
      </c>
      <c r="L20" s="31">
        <v>538.576675</v>
      </c>
      <c r="M20" s="31">
        <v>547.506004</v>
      </c>
      <c r="N20" s="31">
        <f t="shared" si="0"/>
        <v>523.2342809166666</v>
      </c>
    </row>
    <row r="21" spans="1:14" ht="14.25">
      <c r="A21" s="33">
        <v>2016</v>
      </c>
      <c r="B21" s="31">
        <v>548.479596</v>
      </c>
      <c r="C21" s="31">
        <v>518.037388</v>
      </c>
      <c r="D21" s="31">
        <v>543.21029</v>
      </c>
      <c r="E21" s="31">
        <v>517.996442</v>
      </c>
      <c r="F21" s="31">
        <v>520.708323</v>
      </c>
      <c r="G21" s="31">
        <v>483.005681</v>
      </c>
      <c r="H21" s="31">
        <v>500.082266</v>
      </c>
      <c r="I21" s="31">
        <v>543.530856</v>
      </c>
      <c r="J21" s="31">
        <v>560.578809</v>
      </c>
      <c r="K21" s="31">
        <v>559.238822</v>
      </c>
      <c r="L21" s="31">
        <v>562.430322</v>
      </c>
      <c r="M21" s="31">
        <v>569.60126</v>
      </c>
      <c r="N21" s="31">
        <f t="shared" si="0"/>
        <v>535.5750045833333</v>
      </c>
    </row>
    <row r="22" spans="1:14" ht="14.25">
      <c r="A22" s="32">
        <v>2017</v>
      </c>
      <c r="B22" s="31">
        <v>559.011104</v>
      </c>
      <c r="C22" s="31">
        <v>510.602735</v>
      </c>
      <c r="D22" s="31">
        <v>565.993668</v>
      </c>
      <c r="E22" s="31">
        <v>502.147857</v>
      </c>
      <c r="F22" s="31">
        <v>534.246835</v>
      </c>
      <c r="G22" s="31">
        <v>510.735222</v>
      </c>
      <c r="H22" s="31">
        <v>501</v>
      </c>
      <c r="I22" s="31">
        <v>552.200342</v>
      </c>
      <c r="J22" s="31">
        <v>536.322615</v>
      </c>
      <c r="K22" s="31">
        <v>556.639167</v>
      </c>
      <c r="L22" s="31">
        <v>560.193873</v>
      </c>
      <c r="M22" s="31">
        <v>541.18832</v>
      </c>
      <c r="N22" s="31">
        <f t="shared" si="0"/>
        <v>535.8568115</v>
      </c>
    </row>
    <row r="23" spans="1:14" ht="14.25">
      <c r="A23" s="32">
        <v>2018</v>
      </c>
      <c r="B23" s="31">
        <v>564.850364</v>
      </c>
      <c r="C23" s="31">
        <v>498.901857</v>
      </c>
      <c r="D23" s="31">
        <v>542.642202</v>
      </c>
      <c r="E23" s="31">
        <v>505.481999</v>
      </c>
      <c r="F23" s="31">
        <v>511.135782</v>
      </c>
      <c r="G23" s="31">
        <v>477.551006</v>
      </c>
      <c r="H23" s="31">
        <v>482.4</v>
      </c>
      <c r="I23" s="31">
        <v>549.7</v>
      </c>
      <c r="J23" s="31">
        <v>527.1</v>
      </c>
      <c r="K23" s="31">
        <v>576.9</v>
      </c>
      <c r="L23" s="31">
        <v>579.5</v>
      </c>
      <c r="M23" s="31">
        <v>558.9</v>
      </c>
      <c r="N23" s="31">
        <f t="shared" si="0"/>
        <v>531.2552675</v>
      </c>
    </row>
    <row r="24" spans="1:14" ht="14.25">
      <c r="A24" s="32">
        <v>2019</v>
      </c>
      <c r="B24" s="31">
        <v>581.57863</v>
      </c>
      <c r="C24" s="31">
        <v>527.299608</v>
      </c>
      <c r="D24" s="31">
        <v>560.7</v>
      </c>
      <c r="E24" s="31">
        <v>557.4</v>
      </c>
      <c r="F24" s="31">
        <v>555.9</v>
      </c>
      <c r="G24" s="31">
        <v>497.5</v>
      </c>
      <c r="H24" s="31">
        <v>515.7</v>
      </c>
      <c r="I24" s="31">
        <v>551.7</v>
      </c>
      <c r="J24" s="31">
        <v>523.989</v>
      </c>
      <c r="K24" s="31">
        <v>590.3</v>
      </c>
      <c r="L24" s="31">
        <v>528.1</v>
      </c>
      <c r="M24" s="31">
        <v>570</v>
      </c>
      <c r="N24" s="31">
        <f t="shared" si="0"/>
        <v>546.6806031666667</v>
      </c>
    </row>
    <row r="25" spans="1:14" ht="14.25">
      <c r="A25" s="83">
        <v>2020</v>
      </c>
      <c r="B25" s="82">
        <v>580.6</v>
      </c>
      <c r="C25" s="82">
        <v>524.7</v>
      </c>
      <c r="D25" s="82">
        <v>618.2</v>
      </c>
      <c r="E25" s="82">
        <v>575</v>
      </c>
      <c r="F25" s="82">
        <v>557.1</v>
      </c>
      <c r="G25" s="82">
        <v>522.6</v>
      </c>
      <c r="H25" s="82">
        <v>530.1</v>
      </c>
      <c r="I25" s="82">
        <v>549.3</v>
      </c>
      <c r="J25" s="82">
        <v>553.7</v>
      </c>
      <c r="K25" s="82">
        <v>591.5</v>
      </c>
      <c r="L25" s="82">
        <v>575.2</v>
      </c>
      <c r="M25" s="82">
        <v>587.9</v>
      </c>
      <c r="N25" s="82">
        <f t="shared" si="0"/>
        <v>563.8249999999999</v>
      </c>
    </row>
    <row r="26" spans="1:14" ht="14.25">
      <c r="A26" s="83">
        <v>2021</v>
      </c>
      <c r="B26" s="82">
        <v>578.5</v>
      </c>
      <c r="C26" s="82">
        <v>532.4</v>
      </c>
      <c r="D26" s="82">
        <v>578.7</v>
      </c>
      <c r="E26" s="82">
        <v>515.4</v>
      </c>
      <c r="F26" s="82">
        <v>532</v>
      </c>
      <c r="G26" s="82">
        <v>498.6</v>
      </c>
      <c r="H26" s="82">
        <v>499.2</v>
      </c>
      <c r="I26" s="82">
        <v>516.7</v>
      </c>
      <c r="J26" s="82">
        <v>531.6</v>
      </c>
      <c r="K26" s="82">
        <v>545.7</v>
      </c>
      <c r="L26" s="82">
        <v>564</v>
      </c>
      <c r="M26" s="82">
        <v>571</v>
      </c>
      <c r="N26" s="82">
        <f>AVERAGE(B26:M26)</f>
        <v>538.65</v>
      </c>
    </row>
    <row r="27" spans="1:14" ht="14.25">
      <c r="A27" s="32">
        <v>2022</v>
      </c>
      <c r="B27" s="82">
        <v>555.8</v>
      </c>
      <c r="C27" s="82">
        <v>504.7</v>
      </c>
      <c r="D27" s="82">
        <v>560.5</v>
      </c>
      <c r="E27" s="82">
        <v>531.4</v>
      </c>
      <c r="F27" s="82">
        <v>519.2</v>
      </c>
      <c r="G27" s="82">
        <v>459.9</v>
      </c>
      <c r="H27" s="82">
        <v>468.9</v>
      </c>
      <c r="I27" s="82">
        <v>505.8</v>
      </c>
      <c r="J27" s="82">
        <v>510.1</v>
      </c>
      <c r="K27" s="82">
        <v>522.1</v>
      </c>
      <c r="L27" s="82">
        <v>527</v>
      </c>
      <c r="M27" s="82">
        <v>545.9</v>
      </c>
      <c r="N27" s="82">
        <f>AVERAGE(B27:M27)</f>
        <v>517.6083333333335</v>
      </c>
    </row>
    <row r="28" spans="1:14" ht="14.25">
      <c r="A28" s="32">
        <v>2023</v>
      </c>
      <c r="B28" s="82">
        <v>549</v>
      </c>
      <c r="C28" s="82">
        <v>499.4</v>
      </c>
      <c r="D28" s="82">
        <v>542</v>
      </c>
      <c r="E28" s="82">
        <v>488</v>
      </c>
      <c r="F28" s="82">
        <v>513.6</v>
      </c>
      <c r="G28" s="82">
        <v>491.6</v>
      </c>
      <c r="H28" s="82">
        <v>492.2</v>
      </c>
      <c r="I28" s="82">
        <v>533.9</v>
      </c>
      <c r="J28" s="82">
        <v>549.5</v>
      </c>
      <c r="K28" s="82">
        <v>593.7</v>
      </c>
      <c r="L28" s="82">
        <v>598.1</v>
      </c>
      <c r="M28" s="82">
        <v>549.1</v>
      </c>
      <c r="N28" s="82">
        <f>AVERAGE(B28:M28)</f>
        <v>533.3416666666667</v>
      </c>
    </row>
    <row r="29" spans="2:14" ht="14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4.2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9"/>
    </row>
    <row r="31" spans="1:13" ht="14.25">
      <c r="A31" s="28" t="s">
        <v>126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2:13" ht="14.2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2:13" ht="14.2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2:13" ht="14.2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2:13" ht="14.2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2:13" ht="14.2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2:13" ht="14.2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2:13" ht="14.2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2:13" ht="14.2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2:13" ht="14.2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2:13" ht="14.2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2:13" ht="14.2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2:13" ht="14.2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2:13" ht="14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2:13" ht="14.2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ht="14.25">
      <c r="B46" s="30"/>
    </row>
    <row r="47" ht="14.25">
      <c r="B47" s="30"/>
    </row>
    <row r="48" ht="14.25">
      <c r="B48" s="30"/>
    </row>
    <row r="49" ht="14.25">
      <c r="B49" s="30"/>
    </row>
    <row r="50" ht="14.25">
      <c r="B50" s="30"/>
    </row>
    <row r="51" ht="14.25">
      <c r="B51" s="30"/>
    </row>
    <row r="52" ht="14.25">
      <c r="B52" s="30"/>
    </row>
    <row r="53" ht="14.25">
      <c r="B53" s="30"/>
    </row>
    <row r="54" ht="14.25">
      <c r="B54" s="30"/>
    </row>
    <row r="55" ht="14.25">
      <c r="B55" s="30"/>
    </row>
    <row r="56" ht="14.25">
      <c r="B56" s="30"/>
    </row>
    <row r="57" ht="14.25">
      <c r="B57" s="30"/>
    </row>
    <row r="58" ht="14.25">
      <c r="B58" s="30"/>
    </row>
    <row r="59" ht="14.25">
      <c r="B59" s="30"/>
    </row>
    <row r="60" ht="14.25">
      <c r="B60" s="30"/>
    </row>
    <row r="61" ht="14.25">
      <c r="B61" s="30"/>
    </row>
    <row r="62" ht="14.25">
      <c r="B62" s="30"/>
    </row>
    <row r="63" ht="14.25">
      <c r="B63" s="30"/>
    </row>
    <row r="64" ht="14.25">
      <c r="B64" s="30"/>
    </row>
    <row r="65" ht="14.25">
      <c r="B65" s="30"/>
    </row>
    <row r="66" ht="14.25">
      <c r="B66" s="30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30"/>
  <sheetViews>
    <sheetView zoomScale="90" zoomScaleNormal="90" zoomScalePageLayoutView="0" workbookViewId="0" topLeftCell="A4">
      <selection activeCell="N28" sqref="N28"/>
    </sheetView>
  </sheetViews>
  <sheetFormatPr defaultColWidth="9.140625" defaultRowHeight="12.75"/>
  <cols>
    <col min="1" max="1" width="6.7109375" style="28" customWidth="1"/>
    <col min="2" max="14" width="9.140625" style="28" customWidth="1"/>
    <col min="15" max="15" width="11.28125" style="28" bestFit="1" customWidth="1"/>
    <col min="16" max="16384" width="9.140625" style="28" customWidth="1"/>
  </cols>
  <sheetData>
    <row r="1" ht="15.75">
      <c r="A1" s="36" t="s">
        <v>132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7"/>
      <c r="B4" s="101" t="s">
        <v>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4.25">
      <c r="A5" s="33">
        <v>2000</v>
      </c>
      <c r="B5" s="31">
        <v>172.646565</v>
      </c>
      <c r="C5" s="31">
        <v>187.566608</v>
      </c>
      <c r="D5" s="31">
        <v>223.959794</v>
      </c>
      <c r="E5" s="31">
        <v>177.282853</v>
      </c>
      <c r="F5" s="31">
        <v>178.128236</v>
      </c>
      <c r="G5" s="31">
        <v>176.612373</v>
      </c>
      <c r="H5" s="31">
        <v>212.421439</v>
      </c>
      <c r="I5" s="31">
        <v>194.566619</v>
      </c>
      <c r="J5" s="31">
        <v>207.933856</v>
      </c>
      <c r="K5" s="31">
        <v>163.103241</v>
      </c>
      <c r="L5" s="31">
        <v>142.720828</v>
      </c>
      <c r="M5" s="31">
        <v>83.133118</v>
      </c>
      <c r="N5" s="31">
        <f>AVERAGE(B5:M5)</f>
        <v>176.6729608333333</v>
      </c>
    </row>
    <row r="6" spans="1:14" ht="14.25">
      <c r="A6" s="32">
        <v>2001</v>
      </c>
      <c r="B6" s="31">
        <v>164.669488</v>
      </c>
      <c r="C6" s="31">
        <v>81.011192</v>
      </c>
      <c r="D6" s="31">
        <v>92.30685</v>
      </c>
      <c r="E6" s="31">
        <v>96.173948</v>
      </c>
      <c r="F6" s="31">
        <v>109.369788</v>
      </c>
      <c r="G6" s="31">
        <v>175.416351</v>
      </c>
      <c r="H6" s="31">
        <v>241.915758</v>
      </c>
      <c r="I6" s="31">
        <v>244.461694</v>
      </c>
      <c r="J6" s="31">
        <v>200.0534</v>
      </c>
      <c r="K6" s="31">
        <v>211.702814</v>
      </c>
      <c r="L6" s="31">
        <v>199.072093</v>
      </c>
      <c r="M6" s="31">
        <v>189.264708</v>
      </c>
      <c r="N6" s="31">
        <f aca="true" t="shared" si="0" ref="N6:N25">AVERAGE(B6:M6)</f>
        <v>167.11817366666665</v>
      </c>
    </row>
    <row r="7" spans="1:14" ht="14.25">
      <c r="A7" s="33">
        <v>2002</v>
      </c>
      <c r="B7" s="31">
        <v>203.175074</v>
      </c>
      <c r="C7" s="31">
        <v>209.880747</v>
      </c>
      <c r="D7" s="31">
        <v>168.134775</v>
      </c>
      <c r="E7" s="31">
        <v>171.657177</v>
      </c>
      <c r="F7" s="31">
        <v>236.181118</v>
      </c>
      <c r="G7" s="31">
        <v>215.793275</v>
      </c>
      <c r="H7" s="31">
        <v>102.187083</v>
      </c>
      <c r="I7" s="31">
        <v>227.682687</v>
      </c>
      <c r="J7" s="31">
        <v>216.28439</v>
      </c>
      <c r="K7" s="31">
        <v>224.55457</v>
      </c>
      <c r="L7" s="31">
        <v>139.984313</v>
      </c>
      <c r="M7" s="31">
        <v>131.853133</v>
      </c>
      <c r="N7" s="31">
        <f t="shared" si="0"/>
        <v>187.28069516666667</v>
      </c>
    </row>
    <row r="8" spans="1:14" ht="14.25">
      <c r="A8" s="32">
        <v>2003</v>
      </c>
      <c r="B8" s="31">
        <v>154.264308</v>
      </c>
      <c r="C8" s="31">
        <v>205.814307</v>
      </c>
      <c r="D8" s="31">
        <v>180.086806</v>
      </c>
      <c r="E8" s="31">
        <v>222.357848</v>
      </c>
      <c r="F8" s="31">
        <v>233.399392</v>
      </c>
      <c r="G8" s="31">
        <v>226.133276</v>
      </c>
      <c r="H8" s="31">
        <v>251.726538</v>
      </c>
      <c r="I8" s="31">
        <v>245.786387</v>
      </c>
      <c r="J8" s="31">
        <v>248.701437</v>
      </c>
      <c r="K8" s="31">
        <v>222.376752</v>
      </c>
      <c r="L8" s="31">
        <v>208.978521</v>
      </c>
      <c r="M8" s="31">
        <v>178.082466</v>
      </c>
      <c r="N8" s="31">
        <f t="shared" si="0"/>
        <v>214.80900316666666</v>
      </c>
    </row>
    <row r="9" spans="1:14" ht="14.25">
      <c r="A9" s="33">
        <v>2004</v>
      </c>
      <c r="B9" s="31">
        <v>223.127026</v>
      </c>
      <c r="C9" s="31">
        <v>207.301983</v>
      </c>
      <c r="D9" s="31">
        <v>232.325103</v>
      </c>
      <c r="E9" s="31">
        <v>226.531073</v>
      </c>
      <c r="F9" s="31">
        <v>243.038056</v>
      </c>
      <c r="G9" s="31">
        <v>240.827853</v>
      </c>
      <c r="H9" s="31">
        <v>234.623369</v>
      </c>
      <c r="I9" s="31">
        <v>247.268932</v>
      </c>
      <c r="J9" s="31">
        <v>234.879129</v>
      </c>
      <c r="K9" s="31">
        <v>231.700421</v>
      </c>
      <c r="L9" s="31">
        <v>220.798139</v>
      </c>
      <c r="M9" s="31">
        <v>211.04605</v>
      </c>
      <c r="N9" s="31">
        <f t="shared" si="0"/>
        <v>229.4555945</v>
      </c>
    </row>
    <row r="10" spans="1:14" ht="14.25">
      <c r="A10" s="32">
        <v>2005</v>
      </c>
      <c r="B10" s="31">
        <v>227.102379</v>
      </c>
      <c r="C10" s="31">
        <v>223.676395</v>
      </c>
      <c r="D10" s="31">
        <v>252.154569</v>
      </c>
      <c r="E10" s="31">
        <v>261.545521</v>
      </c>
      <c r="F10" s="31">
        <v>272.63867</v>
      </c>
      <c r="G10" s="31">
        <v>275.005788</v>
      </c>
      <c r="H10" s="31">
        <v>273.612133</v>
      </c>
      <c r="I10" s="31">
        <v>265.051109</v>
      </c>
      <c r="J10" s="31">
        <v>248.204612</v>
      </c>
      <c r="K10" s="31">
        <v>254.315053</v>
      </c>
      <c r="L10" s="31">
        <v>215.16415</v>
      </c>
      <c r="M10" s="31">
        <v>190.089865</v>
      </c>
      <c r="N10" s="31">
        <f t="shared" si="0"/>
        <v>246.546687</v>
      </c>
    </row>
    <row r="11" spans="1:14" ht="14.25">
      <c r="A11" s="32">
        <v>2006</v>
      </c>
      <c r="B11" s="31">
        <v>228.307781</v>
      </c>
      <c r="C11" s="31">
        <v>210.40683</v>
      </c>
      <c r="D11" s="31">
        <v>240.417216</v>
      </c>
      <c r="E11" s="31">
        <v>233.035521</v>
      </c>
      <c r="F11" s="31">
        <v>245.916484</v>
      </c>
      <c r="G11" s="31">
        <v>257.354056</v>
      </c>
      <c r="H11" s="31">
        <v>262.8301</v>
      </c>
      <c r="I11" s="31">
        <v>276.427164</v>
      </c>
      <c r="J11" s="31">
        <v>249.531028</v>
      </c>
      <c r="K11" s="31">
        <v>240.55633</v>
      </c>
      <c r="L11" s="31">
        <v>248.910125</v>
      </c>
      <c r="M11" s="31">
        <v>226.554707</v>
      </c>
      <c r="N11" s="31">
        <f t="shared" si="0"/>
        <v>243.35394516666665</v>
      </c>
    </row>
    <row r="12" spans="1:14" ht="14.25">
      <c r="A12" s="32">
        <v>2007</v>
      </c>
      <c r="B12" s="31">
        <v>284.178814</v>
      </c>
      <c r="C12" s="31">
        <v>244.933431</v>
      </c>
      <c r="D12" s="31">
        <v>298.09976</v>
      </c>
      <c r="E12" s="31">
        <v>296.434712</v>
      </c>
      <c r="F12" s="31">
        <v>284.34958</v>
      </c>
      <c r="G12" s="31">
        <v>300.019342</v>
      </c>
      <c r="H12" s="31">
        <v>281.566134</v>
      </c>
      <c r="I12" s="31">
        <v>197.240555</v>
      </c>
      <c r="J12" s="31">
        <v>207.887868</v>
      </c>
      <c r="K12" s="31">
        <v>162.752016</v>
      </c>
      <c r="L12" s="31">
        <v>137.560246</v>
      </c>
      <c r="M12" s="31">
        <v>198.283946</v>
      </c>
      <c r="N12" s="31">
        <f t="shared" si="0"/>
        <v>241.108867</v>
      </c>
    </row>
    <row r="13" spans="1:14" ht="14.25">
      <c r="A13" s="33">
        <v>2008</v>
      </c>
      <c r="B13" s="31">
        <v>252.17239</v>
      </c>
      <c r="C13" s="31">
        <v>226.591597</v>
      </c>
      <c r="D13" s="31">
        <v>247.029642</v>
      </c>
      <c r="E13" s="31">
        <v>254.141595</v>
      </c>
      <c r="F13" s="31">
        <v>263.747167</v>
      </c>
      <c r="G13" s="31">
        <v>264.471756</v>
      </c>
      <c r="H13" s="31">
        <v>271.77754</v>
      </c>
      <c r="I13" s="31">
        <v>264.487111</v>
      </c>
      <c r="J13" s="31">
        <v>245.866415</v>
      </c>
      <c r="K13" s="31">
        <v>241.221268</v>
      </c>
      <c r="L13" s="31">
        <v>220.145402</v>
      </c>
      <c r="M13" s="31">
        <v>223.885752</v>
      </c>
      <c r="N13" s="31">
        <f t="shared" si="0"/>
        <v>247.96146958333338</v>
      </c>
    </row>
    <row r="14" spans="1:14" ht="14.25">
      <c r="A14" s="32">
        <v>2009</v>
      </c>
      <c r="B14" s="31">
        <v>246.511168</v>
      </c>
      <c r="C14" s="31">
        <v>234.34152</v>
      </c>
      <c r="D14" s="31">
        <v>264.980572</v>
      </c>
      <c r="E14" s="31">
        <v>277.275953</v>
      </c>
      <c r="F14" s="31">
        <v>280.22222</v>
      </c>
      <c r="G14" s="31">
        <v>289.501404</v>
      </c>
      <c r="H14" s="31">
        <v>292.613148</v>
      </c>
      <c r="I14" s="31">
        <v>302.10078</v>
      </c>
      <c r="J14" s="31">
        <v>279.257923</v>
      </c>
      <c r="K14" s="31">
        <v>258.891073</v>
      </c>
      <c r="L14" s="31">
        <v>258.003257</v>
      </c>
      <c r="M14" s="31">
        <v>242.246019</v>
      </c>
      <c r="N14" s="31">
        <f t="shared" si="0"/>
        <v>268.8287530833333</v>
      </c>
    </row>
    <row r="15" spans="1:14" ht="14.25">
      <c r="A15" s="33">
        <v>2010</v>
      </c>
      <c r="B15" s="31">
        <v>253.129705</v>
      </c>
      <c r="C15" s="31">
        <v>193.106051</v>
      </c>
      <c r="D15" s="31">
        <v>283.379708</v>
      </c>
      <c r="E15" s="31">
        <v>270.430236</v>
      </c>
      <c r="F15" s="31">
        <v>187.783534</v>
      </c>
      <c r="G15" s="31">
        <v>209.780742</v>
      </c>
      <c r="H15" s="31">
        <v>170.191048</v>
      </c>
      <c r="I15" s="31">
        <v>209.628353</v>
      </c>
      <c r="J15" s="31">
        <v>176.926894</v>
      </c>
      <c r="K15" s="31">
        <v>245.975334</v>
      </c>
      <c r="L15" s="31">
        <v>145.418563</v>
      </c>
      <c r="M15" s="31">
        <v>182.293858</v>
      </c>
      <c r="N15" s="31">
        <f t="shared" si="0"/>
        <v>210.6703355</v>
      </c>
    </row>
    <row r="16" spans="1:14" ht="14.25">
      <c r="A16" s="32">
        <v>2011</v>
      </c>
      <c r="B16" s="31">
        <v>151.610971</v>
      </c>
      <c r="C16" s="31">
        <v>148.007001</v>
      </c>
      <c r="D16" s="31">
        <v>276.191991</v>
      </c>
      <c r="E16" s="31">
        <v>175.327164</v>
      </c>
      <c r="F16" s="31">
        <v>99.936698</v>
      </c>
      <c r="G16" s="31">
        <v>135.73535</v>
      </c>
      <c r="H16" s="31">
        <v>263.44346</v>
      </c>
      <c r="I16" s="31">
        <v>286.9978</v>
      </c>
      <c r="J16" s="31">
        <v>245.852354</v>
      </c>
      <c r="K16" s="31">
        <v>256.212572</v>
      </c>
      <c r="L16" s="31">
        <v>206.2305</v>
      </c>
      <c r="M16" s="31">
        <v>228.986338</v>
      </c>
      <c r="N16" s="31">
        <f t="shared" si="0"/>
        <v>206.21101658333336</v>
      </c>
    </row>
    <row r="17" spans="1:14" ht="14.25">
      <c r="A17" s="33">
        <v>2012</v>
      </c>
      <c r="B17" s="31">
        <v>281.515167</v>
      </c>
      <c r="C17" s="31">
        <v>251.377522</v>
      </c>
      <c r="D17" s="31">
        <v>265.80067</v>
      </c>
      <c r="E17" s="31">
        <v>259.310216</v>
      </c>
      <c r="F17" s="31">
        <v>301.555998</v>
      </c>
      <c r="G17" s="31">
        <v>281.438068</v>
      </c>
      <c r="H17" s="31">
        <v>289.998416</v>
      </c>
      <c r="I17" s="31">
        <v>299.711074</v>
      </c>
      <c r="J17" s="31">
        <v>286.39048</v>
      </c>
      <c r="K17" s="31">
        <v>287.817108</v>
      </c>
      <c r="L17" s="31">
        <v>225.084125</v>
      </c>
      <c r="M17" s="31">
        <v>211.871955</v>
      </c>
      <c r="N17" s="31">
        <f t="shared" si="0"/>
        <v>270.15589991666667</v>
      </c>
    </row>
    <row r="18" spans="1:14" ht="14.25">
      <c r="A18" s="32">
        <v>2013</v>
      </c>
      <c r="B18" s="31">
        <v>290.910454</v>
      </c>
      <c r="C18" s="31">
        <v>204.454983</v>
      </c>
      <c r="D18" s="31">
        <v>186.058663</v>
      </c>
      <c r="E18" s="31">
        <v>186.65887</v>
      </c>
      <c r="F18" s="31">
        <v>317.13849</v>
      </c>
      <c r="G18" s="31">
        <v>212.954248</v>
      </c>
      <c r="H18" s="31">
        <v>166.555897</v>
      </c>
      <c r="I18" s="31">
        <v>225.728188</v>
      </c>
      <c r="J18" s="31">
        <v>200.123429</v>
      </c>
      <c r="K18" s="31">
        <v>179.282863</v>
      </c>
      <c r="L18" s="31">
        <v>150.388778</v>
      </c>
      <c r="M18" s="31">
        <v>116.949255</v>
      </c>
      <c r="N18" s="31">
        <f t="shared" si="0"/>
        <v>203.10034316666668</v>
      </c>
    </row>
    <row r="19" spans="1:14" ht="14.25">
      <c r="A19" s="33">
        <v>2014</v>
      </c>
      <c r="B19" s="31">
        <v>155.692086</v>
      </c>
      <c r="C19" s="31">
        <v>209.635065</v>
      </c>
      <c r="D19" s="31">
        <v>199.728894</v>
      </c>
      <c r="E19" s="31">
        <v>224.44397</v>
      </c>
      <c r="F19" s="31">
        <v>205.922388</v>
      </c>
      <c r="G19" s="31">
        <v>162.691318</v>
      </c>
      <c r="H19" s="31">
        <v>156.357366</v>
      </c>
      <c r="I19" s="31">
        <v>166.8751</v>
      </c>
      <c r="J19" s="31">
        <v>215.68421</v>
      </c>
      <c r="K19" s="31">
        <v>312.079186</v>
      </c>
      <c r="L19" s="31">
        <v>271.057224</v>
      </c>
      <c r="M19" s="31">
        <v>248.433726</v>
      </c>
      <c r="N19" s="31">
        <f t="shared" si="0"/>
        <v>210.71671108333337</v>
      </c>
    </row>
    <row r="20" spans="1:14" ht="14.25">
      <c r="A20" s="32">
        <v>2015</v>
      </c>
      <c r="B20" s="31">
        <v>314.14541</v>
      </c>
      <c r="C20" s="31">
        <v>303.881912</v>
      </c>
      <c r="D20" s="31">
        <v>337.26276</v>
      </c>
      <c r="E20" s="31">
        <v>329.14894</v>
      </c>
      <c r="F20" s="31">
        <v>337.925716</v>
      </c>
      <c r="G20" s="31">
        <v>349.567388</v>
      </c>
      <c r="H20" s="31">
        <v>361.593094</v>
      </c>
      <c r="I20" s="31">
        <v>383.743088</v>
      </c>
      <c r="J20" s="31">
        <v>357.069556</v>
      </c>
      <c r="K20" s="31">
        <v>328.146938</v>
      </c>
      <c r="L20" s="31">
        <v>176.018516</v>
      </c>
      <c r="M20" s="31">
        <v>167.306624</v>
      </c>
      <c r="N20" s="31">
        <f t="shared" si="0"/>
        <v>312.1508285</v>
      </c>
    </row>
    <row r="21" spans="1:14" ht="14.25">
      <c r="A21" s="33">
        <v>2016</v>
      </c>
      <c r="B21" s="31">
        <v>346.811202</v>
      </c>
      <c r="C21" s="31">
        <v>305.527016</v>
      </c>
      <c r="D21" s="31">
        <v>366.496432</v>
      </c>
      <c r="E21" s="31">
        <v>357.694068</v>
      </c>
      <c r="F21" s="31">
        <v>343.231262</v>
      </c>
      <c r="G21" s="31">
        <v>253.88432</v>
      </c>
      <c r="H21" s="31">
        <v>325.433304</v>
      </c>
      <c r="I21" s="31">
        <v>400.793096</v>
      </c>
      <c r="J21" s="31">
        <v>342.994468</v>
      </c>
      <c r="K21" s="31">
        <v>347.100884</v>
      </c>
      <c r="L21" s="31">
        <v>305.557788</v>
      </c>
      <c r="M21" s="31">
        <v>279.544094</v>
      </c>
      <c r="N21" s="31">
        <f t="shared" si="0"/>
        <v>331.25566116666664</v>
      </c>
    </row>
    <row r="22" spans="1:14" ht="14.25">
      <c r="A22" s="32">
        <v>2017</v>
      </c>
      <c r="B22" s="31">
        <v>358.900464</v>
      </c>
      <c r="C22" s="31">
        <v>325.641414</v>
      </c>
      <c r="D22" s="31">
        <v>338.60436</v>
      </c>
      <c r="E22" s="31">
        <v>365.26724</v>
      </c>
      <c r="F22" s="31">
        <v>381.693696</v>
      </c>
      <c r="G22" s="31">
        <v>361.259992</v>
      </c>
      <c r="H22" s="31">
        <v>259.6</v>
      </c>
      <c r="I22" s="31">
        <v>299.174124</v>
      </c>
      <c r="J22" s="31">
        <v>278.985724</v>
      </c>
      <c r="K22" s="31">
        <v>328.573164</v>
      </c>
      <c r="L22" s="31">
        <v>270.971184</v>
      </c>
      <c r="M22" s="31">
        <v>261.850386</v>
      </c>
      <c r="N22" s="31">
        <f t="shared" si="0"/>
        <v>319.2101456666667</v>
      </c>
    </row>
    <row r="23" spans="1:14" ht="14.25">
      <c r="A23" s="32">
        <v>2018</v>
      </c>
      <c r="B23" s="31">
        <v>319.543798</v>
      </c>
      <c r="C23" s="31">
        <v>320.108736</v>
      </c>
      <c r="D23" s="31">
        <v>341.434824</v>
      </c>
      <c r="E23" s="31">
        <v>340.551982</v>
      </c>
      <c r="F23" s="31">
        <v>382.683572</v>
      </c>
      <c r="G23" s="31">
        <v>355.393128</v>
      </c>
      <c r="H23" s="31">
        <v>286.8</v>
      </c>
      <c r="I23" s="31">
        <v>369.7</v>
      </c>
      <c r="J23" s="31">
        <v>326.3</v>
      </c>
      <c r="K23" s="31">
        <v>342.9</v>
      </c>
      <c r="L23" s="31">
        <v>249</v>
      </c>
      <c r="M23" s="31">
        <v>181.9</v>
      </c>
      <c r="N23" s="31">
        <f t="shared" si="0"/>
        <v>318.02633666666674</v>
      </c>
    </row>
    <row r="24" spans="1:14" ht="14.25">
      <c r="A24" s="32">
        <v>2019</v>
      </c>
      <c r="B24" s="31">
        <v>212.241324</v>
      </c>
      <c r="C24" s="31">
        <v>181.871268</v>
      </c>
      <c r="D24" s="31">
        <v>219.4</v>
      </c>
      <c r="E24" s="31">
        <v>258.9</v>
      </c>
      <c r="F24" s="31">
        <v>309</v>
      </c>
      <c r="G24" s="31">
        <v>287</v>
      </c>
      <c r="H24" s="31">
        <v>341.1</v>
      </c>
      <c r="I24" s="31">
        <v>337.6</v>
      </c>
      <c r="J24" s="31">
        <v>343.197</v>
      </c>
      <c r="K24" s="31">
        <v>337.3</v>
      </c>
      <c r="L24" s="31">
        <v>278.3</v>
      </c>
      <c r="M24" s="31">
        <v>285.4</v>
      </c>
      <c r="N24" s="31">
        <f t="shared" si="0"/>
        <v>282.6091326666667</v>
      </c>
    </row>
    <row r="25" spans="1:14" ht="14.25">
      <c r="A25" s="34">
        <v>2020</v>
      </c>
      <c r="B25" s="82">
        <v>338.4</v>
      </c>
      <c r="C25" s="82">
        <v>352.6</v>
      </c>
      <c r="D25" s="82">
        <v>313.9</v>
      </c>
      <c r="E25" s="82">
        <v>288.8</v>
      </c>
      <c r="F25" s="82">
        <v>352.6</v>
      </c>
      <c r="G25" s="82">
        <v>333.9</v>
      </c>
      <c r="H25" s="82">
        <v>318.1</v>
      </c>
      <c r="I25" s="82">
        <v>416.2</v>
      </c>
      <c r="J25" s="82">
        <v>385.4</v>
      </c>
      <c r="K25" s="82">
        <v>362.7</v>
      </c>
      <c r="L25" s="82">
        <v>305.8</v>
      </c>
      <c r="M25" s="82">
        <v>296.6</v>
      </c>
      <c r="N25" s="82">
        <f t="shared" si="0"/>
        <v>338.75</v>
      </c>
    </row>
    <row r="26" spans="1:14" ht="14.25">
      <c r="A26" s="34">
        <v>2021</v>
      </c>
      <c r="B26" s="82">
        <v>341.1</v>
      </c>
      <c r="C26" s="82">
        <v>297.4</v>
      </c>
      <c r="D26" s="82">
        <v>362.2</v>
      </c>
      <c r="E26" s="82">
        <v>290.5</v>
      </c>
      <c r="F26" s="82">
        <v>343</v>
      </c>
      <c r="G26" s="82">
        <v>380.7</v>
      </c>
      <c r="H26" s="82">
        <v>312.4</v>
      </c>
      <c r="I26" s="82">
        <v>369.5</v>
      </c>
      <c r="J26" s="82">
        <v>332.5</v>
      </c>
      <c r="K26" s="82">
        <v>317.1</v>
      </c>
      <c r="L26" s="82">
        <v>301.8</v>
      </c>
      <c r="M26" s="82">
        <v>209</v>
      </c>
      <c r="N26" s="82">
        <f>AVERAGE(B26:M26)</f>
        <v>321.43333333333334</v>
      </c>
    </row>
    <row r="27" spans="1:14" ht="14.25">
      <c r="A27" s="34">
        <v>2022</v>
      </c>
      <c r="B27" s="82">
        <v>160.1</v>
      </c>
      <c r="C27" s="82">
        <v>135.3</v>
      </c>
      <c r="D27" s="82">
        <v>143.3</v>
      </c>
      <c r="E27" s="82">
        <v>155.7</v>
      </c>
      <c r="F27" s="82">
        <v>182.3</v>
      </c>
      <c r="G27" s="82">
        <v>118.6</v>
      </c>
      <c r="H27" s="82">
        <v>107</v>
      </c>
      <c r="I27" s="82">
        <v>107.7</v>
      </c>
      <c r="J27" s="82">
        <v>113.7</v>
      </c>
      <c r="K27" s="82">
        <v>114.5</v>
      </c>
      <c r="L27" s="82">
        <v>93.2</v>
      </c>
      <c r="M27" s="82">
        <v>87</v>
      </c>
      <c r="N27" s="82">
        <f>AVERAGE(B27:M27)</f>
        <v>126.53333333333335</v>
      </c>
    </row>
    <row r="28" spans="1:14" ht="14.25">
      <c r="A28" s="34">
        <v>2023</v>
      </c>
      <c r="B28" s="82">
        <v>95.6</v>
      </c>
      <c r="C28" s="82">
        <v>90.6</v>
      </c>
      <c r="D28" s="82">
        <v>105</v>
      </c>
      <c r="E28" s="82">
        <v>153.5</v>
      </c>
      <c r="F28" s="82">
        <v>95.3</v>
      </c>
      <c r="G28" s="82">
        <v>96.6</v>
      </c>
      <c r="H28" s="82">
        <v>96.6</v>
      </c>
      <c r="I28" s="82">
        <v>123.3</v>
      </c>
      <c r="J28" s="82">
        <v>170.7</v>
      </c>
      <c r="K28" s="82">
        <v>173.6</v>
      </c>
      <c r="L28" s="82">
        <v>168</v>
      </c>
      <c r="M28" s="82">
        <v>96.2</v>
      </c>
      <c r="N28" s="82">
        <f>AVERAGE(B28:M28)</f>
        <v>122.08333333333333</v>
      </c>
    </row>
    <row r="29" spans="1:14" ht="14.25">
      <c r="A29" s="28" t="s">
        <v>126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4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30"/>
  <sheetViews>
    <sheetView zoomScale="90" zoomScaleNormal="90" zoomScalePageLayoutView="0" workbookViewId="0" topLeftCell="A12">
      <selection activeCell="M28" sqref="M28"/>
    </sheetView>
  </sheetViews>
  <sheetFormatPr defaultColWidth="9.140625" defaultRowHeight="12.75"/>
  <cols>
    <col min="1" max="1" width="6.7109375" style="28" customWidth="1"/>
    <col min="2" max="14" width="9.140625" style="28" customWidth="1"/>
    <col min="15" max="15" width="11.28125" style="28" bestFit="1" customWidth="1"/>
    <col min="16" max="16384" width="9.140625" style="28" customWidth="1"/>
  </cols>
  <sheetData>
    <row r="1" ht="15.75">
      <c r="A1" s="36" t="s">
        <v>133</v>
      </c>
    </row>
    <row r="3" spans="1:14" ht="14.25">
      <c r="A3" s="35" t="s">
        <v>19</v>
      </c>
      <c r="B3" s="35" t="s">
        <v>18</v>
      </c>
      <c r="C3" s="35" t="s">
        <v>17</v>
      </c>
      <c r="D3" s="35" t="s">
        <v>16</v>
      </c>
      <c r="E3" s="35" t="s">
        <v>15</v>
      </c>
      <c r="F3" s="35" t="s">
        <v>14</v>
      </c>
      <c r="G3" s="35" t="s">
        <v>13</v>
      </c>
      <c r="H3" s="35" t="s">
        <v>12</v>
      </c>
      <c r="I3" s="35" t="s">
        <v>11</v>
      </c>
      <c r="J3" s="35" t="s">
        <v>10</v>
      </c>
      <c r="K3" s="35" t="s">
        <v>9</v>
      </c>
      <c r="L3" s="35" t="s">
        <v>8</v>
      </c>
      <c r="M3" s="35" t="s">
        <v>7</v>
      </c>
      <c r="N3" s="35" t="s">
        <v>20</v>
      </c>
    </row>
    <row r="4" spans="1:14" ht="14.25">
      <c r="A4" s="37"/>
      <c r="B4" s="101" t="s">
        <v>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4.25">
      <c r="A5" s="33">
        <v>2000</v>
      </c>
      <c r="B5" s="31">
        <v>252.858952</v>
      </c>
      <c r="C5" s="31">
        <v>250.519075</v>
      </c>
      <c r="D5" s="31">
        <v>277.772748</v>
      </c>
      <c r="E5" s="31">
        <v>295.612323</v>
      </c>
      <c r="F5" s="31">
        <v>308.236345</v>
      </c>
      <c r="G5" s="31">
        <v>340.348552</v>
      </c>
      <c r="H5" s="31">
        <v>386.606926</v>
      </c>
      <c r="I5" s="31">
        <v>365.308861</v>
      </c>
      <c r="J5" s="31">
        <v>422.422003</v>
      </c>
      <c r="K5" s="31">
        <v>509.097434</v>
      </c>
      <c r="L5" s="31">
        <v>502.56587</v>
      </c>
      <c r="M5" s="31">
        <v>541.598358</v>
      </c>
      <c r="N5" s="31">
        <f>AVERAGE(B5:M5)</f>
        <v>371.07895391666665</v>
      </c>
    </row>
    <row r="6" spans="1:14" ht="14.25">
      <c r="A6" s="32">
        <v>2001</v>
      </c>
      <c r="B6" s="31">
        <v>578.362782</v>
      </c>
      <c r="C6" s="31">
        <v>558.457452</v>
      </c>
      <c r="D6" s="31">
        <v>625.570522</v>
      </c>
      <c r="E6" s="31">
        <v>640.5011</v>
      </c>
      <c r="F6" s="31">
        <v>778.890748</v>
      </c>
      <c r="G6" s="31">
        <v>803.224528</v>
      </c>
      <c r="H6" s="31">
        <v>792.78589</v>
      </c>
      <c r="I6" s="31">
        <v>670.750806</v>
      </c>
      <c r="J6" s="31">
        <v>505.96942</v>
      </c>
      <c r="K6" s="31">
        <v>565.707352</v>
      </c>
      <c r="L6" s="31">
        <v>628.486116</v>
      </c>
      <c r="M6" s="31">
        <v>700.833824</v>
      </c>
      <c r="N6" s="31">
        <f aca="true" t="shared" si="0" ref="N6:N25">AVERAGE(B6:M6)</f>
        <v>654.1283783333334</v>
      </c>
    </row>
    <row r="7" spans="1:14" ht="14.25">
      <c r="A7" s="33">
        <v>2002</v>
      </c>
      <c r="B7" s="31">
        <v>584.307132</v>
      </c>
      <c r="C7" s="31">
        <v>637.468708</v>
      </c>
      <c r="D7" s="31">
        <v>775.107232</v>
      </c>
      <c r="E7" s="31">
        <v>782.034342</v>
      </c>
      <c r="F7" s="31">
        <v>848.0245</v>
      </c>
      <c r="G7" s="31">
        <v>845.12722</v>
      </c>
      <c r="H7" s="31">
        <v>779.755034</v>
      </c>
      <c r="I7" s="31">
        <v>529.398464</v>
      </c>
      <c r="J7" s="31">
        <v>586.798476</v>
      </c>
      <c r="K7" s="31">
        <v>600.961664</v>
      </c>
      <c r="L7" s="31">
        <v>561.12652</v>
      </c>
      <c r="M7" s="31">
        <v>593.972696</v>
      </c>
      <c r="N7" s="31">
        <f t="shared" si="0"/>
        <v>677.0068323333334</v>
      </c>
    </row>
    <row r="8" spans="1:14" ht="14.25">
      <c r="A8" s="32">
        <v>2003</v>
      </c>
      <c r="B8" s="31">
        <v>651.201722</v>
      </c>
      <c r="C8" s="31">
        <v>588.933636</v>
      </c>
      <c r="D8" s="31">
        <v>644.622954</v>
      </c>
      <c r="E8" s="31">
        <v>638.078282</v>
      </c>
      <c r="F8" s="31">
        <v>658.72969</v>
      </c>
      <c r="G8" s="31">
        <v>639.543556</v>
      </c>
      <c r="H8" s="31">
        <v>183.838836</v>
      </c>
      <c r="I8" s="31">
        <v>138.100256</v>
      </c>
      <c r="J8" s="31">
        <v>156.159384</v>
      </c>
      <c r="K8" s="31">
        <v>213.915907</v>
      </c>
      <c r="L8" s="31">
        <v>605.980476</v>
      </c>
      <c r="M8" s="31">
        <v>631.443974</v>
      </c>
      <c r="N8" s="31">
        <f t="shared" si="0"/>
        <v>479.21238941666655</v>
      </c>
    </row>
    <row r="9" spans="1:14" ht="14.25">
      <c r="A9" s="33">
        <v>2004</v>
      </c>
      <c r="B9" s="31">
        <v>648.458732</v>
      </c>
      <c r="C9" s="31">
        <v>642.528302</v>
      </c>
      <c r="D9" s="31">
        <v>448.165465</v>
      </c>
      <c r="E9" s="31">
        <v>44.787309</v>
      </c>
      <c r="F9" s="31">
        <v>50.125049</v>
      </c>
      <c r="G9" s="31">
        <v>727.805524</v>
      </c>
      <c r="H9" s="31">
        <v>652.628826</v>
      </c>
      <c r="I9" s="31">
        <v>689.781988</v>
      </c>
      <c r="J9" s="31">
        <v>484.859097</v>
      </c>
      <c r="K9" s="31">
        <v>681.818004</v>
      </c>
      <c r="L9" s="31">
        <v>639.139516</v>
      </c>
      <c r="M9" s="31">
        <v>131.888661</v>
      </c>
      <c r="N9" s="31">
        <f t="shared" si="0"/>
        <v>486.83220608333335</v>
      </c>
    </row>
    <row r="10" spans="1:14" ht="14.25">
      <c r="A10" s="32">
        <v>2005</v>
      </c>
      <c r="B10" s="31">
        <v>694.947438</v>
      </c>
      <c r="C10" s="31">
        <v>372.113047</v>
      </c>
      <c r="D10" s="31">
        <v>776.491808</v>
      </c>
      <c r="E10" s="31">
        <v>552.208166</v>
      </c>
      <c r="F10" s="31">
        <v>816.60814</v>
      </c>
      <c r="G10" s="31">
        <v>755.199258</v>
      </c>
      <c r="H10" s="31">
        <v>768.991012</v>
      </c>
      <c r="I10" s="31">
        <v>523.16274</v>
      </c>
      <c r="J10" s="31">
        <v>539.311696</v>
      </c>
      <c r="K10" s="31">
        <v>546.97366</v>
      </c>
      <c r="L10" s="31">
        <v>534.163878</v>
      </c>
      <c r="M10" s="31">
        <v>575.997128</v>
      </c>
      <c r="N10" s="31">
        <f t="shared" si="0"/>
        <v>621.3473309166667</v>
      </c>
    </row>
    <row r="11" spans="1:14" ht="14.25">
      <c r="A11" s="33">
        <v>2006</v>
      </c>
      <c r="B11" s="31">
        <v>602.465996</v>
      </c>
      <c r="C11" s="31">
        <v>559.147694</v>
      </c>
      <c r="D11" s="31">
        <v>623.019836</v>
      </c>
      <c r="E11" s="31">
        <v>616.611526</v>
      </c>
      <c r="F11" s="31">
        <v>645.934692</v>
      </c>
      <c r="G11" s="31">
        <v>624.719992</v>
      </c>
      <c r="H11" s="31">
        <v>606.10935</v>
      </c>
      <c r="I11" s="31">
        <v>461.556652</v>
      </c>
      <c r="J11" s="31">
        <v>350.733221</v>
      </c>
      <c r="K11" s="31">
        <v>458.739096</v>
      </c>
      <c r="L11" s="31">
        <v>426.600195</v>
      </c>
      <c r="M11" s="31">
        <v>459.278001</v>
      </c>
      <c r="N11" s="31">
        <f t="shared" si="0"/>
        <v>536.2430209166668</v>
      </c>
    </row>
    <row r="12" spans="1:14" ht="14.25">
      <c r="A12" s="33">
        <v>2007</v>
      </c>
      <c r="B12" s="31">
        <v>507.055368</v>
      </c>
      <c r="C12" s="31">
        <v>414.339141</v>
      </c>
      <c r="D12" s="31">
        <v>461.152648</v>
      </c>
      <c r="E12" s="31">
        <v>468.80247</v>
      </c>
      <c r="F12" s="31">
        <v>514.097136</v>
      </c>
      <c r="G12" s="31">
        <v>429.264525</v>
      </c>
      <c r="H12" s="31">
        <v>558.322932</v>
      </c>
      <c r="I12" s="31">
        <v>423.777054</v>
      </c>
      <c r="J12" s="31">
        <v>469.530012</v>
      </c>
      <c r="K12" s="31">
        <v>470.670602</v>
      </c>
      <c r="L12" s="31">
        <v>491.766664</v>
      </c>
      <c r="M12" s="31">
        <v>491.995568</v>
      </c>
      <c r="N12" s="31">
        <f t="shared" si="0"/>
        <v>475.06451</v>
      </c>
    </row>
    <row r="13" spans="1:14" ht="14.25">
      <c r="A13" s="33">
        <v>2008</v>
      </c>
      <c r="B13" s="31">
        <v>538.04629</v>
      </c>
      <c r="C13" s="31">
        <v>509.508908</v>
      </c>
      <c r="D13" s="31">
        <v>351.301102</v>
      </c>
      <c r="E13" s="31">
        <v>505.25705</v>
      </c>
      <c r="F13" s="31">
        <v>263.466502</v>
      </c>
      <c r="G13" s="31">
        <v>313.736395</v>
      </c>
      <c r="H13" s="31">
        <v>484.655293</v>
      </c>
      <c r="I13" s="31">
        <v>414.078192</v>
      </c>
      <c r="J13" s="31">
        <v>387.514517</v>
      </c>
      <c r="K13" s="31">
        <v>279.000387</v>
      </c>
      <c r="L13" s="31">
        <v>412.661075</v>
      </c>
      <c r="M13" s="31">
        <v>316.194811</v>
      </c>
      <c r="N13" s="31">
        <f t="shared" si="0"/>
        <v>397.9517101666666</v>
      </c>
    </row>
    <row r="14" spans="1:14" ht="14.25">
      <c r="A14" s="32">
        <v>2009</v>
      </c>
      <c r="B14" s="31">
        <v>442.499684</v>
      </c>
      <c r="C14" s="31">
        <v>420.054461</v>
      </c>
      <c r="D14" s="31">
        <v>451.078076</v>
      </c>
      <c r="E14" s="31">
        <v>468.633622</v>
      </c>
      <c r="F14" s="31">
        <v>525.345618</v>
      </c>
      <c r="G14" s="31">
        <v>511.842386</v>
      </c>
      <c r="H14" s="31">
        <v>518.416084</v>
      </c>
      <c r="I14" s="31">
        <v>421.751126</v>
      </c>
      <c r="J14" s="31">
        <v>390.544322</v>
      </c>
      <c r="K14" s="31">
        <v>391.352936</v>
      </c>
      <c r="L14" s="31">
        <v>403.821492</v>
      </c>
      <c r="M14" s="31">
        <v>441.255525</v>
      </c>
      <c r="N14" s="31">
        <f t="shared" si="0"/>
        <v>448.88294433333334</v>
      </c>
    </row>
    <row r="15" spans="1:14" ht="14.25">
      <c r="A15" s="33">
        <v>2010</v>
      </c>
      <c r="B15" s="31">
        <v>469.350106</v>
      </c>
      <c r="C15" s="31">
        <v>430.409581</v>
      </c>
      <c r="D15" s="31">
        <v>505.118748</v>
      </c>
      <c r="E15" s="31">
        <v>513.569462</v>
      </c>
      <c r="F15" s="31">
        <v>553.840272</v>
      </c>
      <c r="G15" s="31">
        <v>507.390308</v>
      </c>
      <c r="H15" s="31">
        <v>521.407393</v>
      </c>
      <c r="I15" s="31">
        <v>475.934873</v>
      </c>
      <c r="J15" s="31">
        <v>472.197767</v>
      </c>
      <c r="K15" s="31">
        <v>501.293524</v>
      </c>
      <c r="L15" s="31">
        <v>456.212328</v>
      </c>
      <c r="M15" s="31">
        <v>474.045848</v>
      </c>
      <c r="N15" s="31">
        <f t="shared" si="0"/>
        <v>490.06418416666656</v>
      </c>
    </row>
    <row r="16" spans="1:14" ht="14.25">
      <c r="A16" s="32">
        <v>2011</v>
      </c>
      <c r="B16" s="31">
        <v>460.181</v>
      </c>
      <c r="C16" s="31">
        <v>484.72478</v>
      </c>
      <c r="D16" s="31">
        <v>469.322478</v>
      </c>
      <c r="E16" s="31">
        <v>498.918772</v>
      </c>
      <c r="F16" s="31">
        <v>512.684634</v>
      </c>
      <c r="G16" s="31">
        <v>555.936312</v>
      </c>
      <c r="H16" s="31">
        <v>529.004692</v>
      </c>
      <c r="I16" s="31">
        <v>490.579376</v>
      </c>
      <c r="J16" s="31">
        <v>447.383796</v>
      </c>
      <c r="K16" s="31">
        <v>527.84296</v>
      </c>
      <c r="L16" s="31">
        <v>472.023458</v>
      </c>
      <c r="M16" s="31">
        <v>409.966886</v>
      </c>
      <c r="N16" s="31">
        <f t="shared" si="0"/>
        <v>488.2140953333333</v>
      </c>
    </row>
    <row r="17" spans="1:14" ht="14.25">
      <c r="A17" s="33">
        <v>2012</v>
      </c>
      <c r="B17" s="31">
        <v>539.79892</v>
      </c>
      <c r="C17" s="31">
        <v>549.10696</v>
      </c>
      <c r="D17" s="31">
        <v>600.311722</v>
      </c>
      <c r="E17" s="31">
        <v>570.039208</v>
      </c>
      <c r="F17" s="31">
        <v>561.213304</v>
      </c>
      <c r="G17" s="31">
        <v>434.641301</v>
      </c>
      <c r="H17" s="31">
        <v>302.170875</v>
      </c>
      <c r="I17" s="31">
        <v>306.139064</v>
      </c>
      <c r="J17" s="31">
        <v>275.538144</v>
      </c>
      <c r="K17" s="31">
        <v>206.829885</v>
      </c>
      <c r="L17" s="31">
        <v>322.54268</v>
      </c>
      <c r="M17" s="31">
        <v>422.55408</v>
      </c>
      <c r="N17" s="31">
        <f t="shared" si="0"/>
        <v>424.24051191666666</v>
      </c>
    </row>
    <row r="18" spans="1:14" ht="14.25">
      <c r="A18" s="32">
        <v>2013</v>
      </c>
      <c r="B18" s="31">
        <v>434.040748</v>
      </c>
      <c r="C18" s="31">
        <v>422.810178</v>
      </c>
      <c r="D18" s="31">
        <v>474.740208</v>
      </c>
      <c r="E18" s="31">
        <v>477.978086</v>
      </c>
      <c r="F18" s="31">
        <v>479.660768</v>
      </c>
      <c r="G18" s="31">
        <v>497.446404</v>
      </c>
      <c r="H18" s="31">
        <v>506.59432</v>
      </c>
      <c r="I18" s="31">
        <v>471.973216</v>
      </c>
      <c r="J18" s="31">
        <v>453.647908</v>
      </c>
      <c r="K18" s="31">
        <v>486.71896</v>
      </c>
      <c r="L18" s="31">
        <v>480.924432</v>
      </c>
      <c r="M18" s="31">
        <v>501.32558</v>
      </c>
      <c r="N18" s="31">
        <f t="shared" si="0"/>
        <v>473.9884006666666</v>
      </c>
    </row>
    <row r="19" spans="1:14" ht="14.25">
      <c r="A19" s="33">
        <v>2014</v>
      </c>
      <c r="B19" s="31">
        <v>462.287087</v>
      </c>
      <c r="C19" s="31">
        <v>406.265922</v>
      </c>
      <c r="D19" s="31">
        <v>492.888528</v>
      </c>
      <c r="E19" s="31">
        <v>438.762992</v>
      </c>
      <c r="F19" s="31">
        <v>546.688966</v>
      </c>
      <c r="G19" s="31">
        <v>539.323632</v>
      </c>
      <c r="H19" s="31">
        <v>573.1953</v>
      </c>
      <c r="I19" s="31">
        <v>566.614512</v>
      </c>
      <c r="J19" s="31">
        <v>534.992604</v>
      </c>
      <c r="K19" s="31">
        <v>314.552652</v>
      </c>
      <c r="L19" s="31">
        <v>380.299547</v>
      </c>
      <c r="M19" s="31">
        <v>591.608558</v>
      </c>
      <c r="N19" s="31">
        <f t="shared" si="0"/>
        <v>487.290025</v>
      </c>
    </row>
    <row r="20" spans="1:14" ht="14.25">
      <c r="A20" s="32">
        <v>2015</v>
      </c>
      <c r="B20" s="31">
        <v>552.496678</v>
      </c>
      <c r="C20" s="31">
        <v>512.03498</v>
      </c>
      <c r="D20" s="31">
        <v>409.023655</v>
      </c>
      <c r="E20" s="31">
        <v>380.228129</v>
      </c>
      <c r="F20" s="31">
        <v>316.241316</v>
      </c>
      <c r="G20" s="31">
        <v>331.184577</v>
      </c>
      <c r="H20" s="31">
        <v>298.683793</v>
      </c>
      <c r="I20" s="31">
        <v>275.909875</v>
      </c>
      <c r="J20" s="31">
        <v>454.263874</v>
      </c>
      <c r="K20" s="31">
        <v>523.673562</v>
      </c>
      <c r="L20" s="31">
        <v>513.008644</v>
      </c>
      <c r="M20" s="31">
        <v>581.71539</v>
      </c>
      <c r="N20" s="31">
        <f t="shared" si="0"/>
        <v>429.0387060833334</v>
      </c>
    </row>
    <row r="21" spans="1:14" ht="14.25">
      <c r="A21" s="33">
        <v>2016</v>
      </c>
      <c r="B21" s="31">
        <v>517.81354</v>
      </c>
      <c r="C21" s="31">
        <v>497.116576</v>
      </c>
      <c r="D21" s="31">
        <v>567.502018</v>
      </c>
      <c r="E21" s="31">
        <v>568.487252</v>
      </c>
      <c r="F21" s="31">
        <v>636.32678</v>
      </c>
      <c r="G21" s="31">
        <v>630.741008</v>
      </c>
      <c r="H21" s="31">
        <v>573.164715</v>
      </c>
      <c r="I21" s="31">
        <v>347.405802</v>
      </c>
      <c r="J21" s="31">
        <v>340.680654</v>
      </c>
      <c r="K21" s="31">
        <v>505.831288</v>
      </c>
      <c r="L21" s="31">
        <v>300.934542</v>
      </c>
      <c r="M21" s="31">
        <v>366.99665</v>
      </c>
      <c r="N21" s="31">
        <f t="shared" si="0"/>
        <v>487.75006875</v>
      </c>
    </row>
    <row r="22" spans="1:14" ht="14.25">
      <c r="A22" s="32">
        <v>2017</v>
      </c>
      <c r="B22" s="31">
        <v>522.295148</v>
      </c>
      <c r="C22" s="31">
        <v>475.931405</v>
      </c>
      <c r="D22" s="31">
        <v>620.618464</v>
      </c>
      <c r="E22" s="31">
        <v>644.88052</v>
      </c>
      <c r="F22" s="31">
        <v>487.268158</v>
      </c>
      <c r="G22" s="31">
        <v>603.239928</v>
      </c>
      <c r="H22" s="31">
        <v>661.4</v>
      </c>
      <c r="I22" s="31">
        <v>573.86206</v>
      </c>
      <c r="J22" s="31">
        <v>543.212028</v>
      </c>
      <c r="K22" s="31">
        <v>383.962216</v>
      </c>
      <c r="L22" s="31">
        <v>378.484567</v>
      </c>
      <c r="M22" s="31">
        <v>540.709992</v>
      </c>
      <c r="N22" s="31">
        <f t="shared" si="0"/>
        <v>536.3220405000001</v>
      </c>
    </row>
    <row r="23" spans="1:14" ht="14.25">
      <c r="A23" s="32">
        <v>2018</v>
      </c>
      <c r="B23" s="31">
        <v>558.693264</v>
      </c>
      <c r="C23" s="31">
        <v>512.703348</v>
      </c>
      <c r="D23" s="31">
        <v>444.282042</v>
      </c>
      <c r="E23" s="31">
        <v>539.500142</v>
      </c>
      <c r="F23" s="31">
        <v>472.438399</v>
      </c>
      <c r="G23" s="31">
        <v>608.743354</v>
      </c>
      <c r="H23" s="31">
        <v>649.4</v>
      </c>
      <c r="I23" s="31">
        <v>544</v>
      </c>
      <c r="J23" s="31">
        <v>380.7</v>
      </c>
      <c r="K23" s="31">
        <v>503.1</v>
      </c>
      <c r="L23" s="31">
        <v>519</v>
      </c>
      <c r="M23" s="31">
        <v>571.5</v>
      </c>
      <c r="N23" s="31">
        <f t="shared" si="0"/>
        <v>525.3383790833334</v>
      </c>
    </row>
    <row r="24" spans="1:14" ht="14.25">
      <c r="A24" s="32">
        <v>2019</v>
      </c>
      <c r="B24" s="31">
        <v>537.626392</v>
      </c>
      <c r="C24" s="31">
        <v>539.086932</v>
      </c>
      <c r="D24" s="31">
        <v>633.1</v>
      </c>
      <c r="E24" s="31">
        <v>584.8</v>
      </c>
      <c r="F24" s="31">
        <v>630.6</v>
      </c>
      <c r="G24" s="31">
        <v>646.7</v>
      </c>
      <c r="H24" s="31">
        <v>615</v>
      </c>
      <c r="I24" s="31">
        <v>536.6</v>
      </c>
      <c r="J24" s="31">
        <v>350.799</v>
      </c>
      <c r="K24" s="31">
        <v>293.2</v>
      </c>
      <c r="L24" s="31">
        <v>248.4</v>
      </c>
      <c r="M24" s="31">
        <v>357</v>
      </c>
      <c r="N24" s="31">
        <f t="shared" si="0"/>
        <v>497.74269366666664</v>
      </c>
    </row>
    <row r="25" spans="1:14" ht="14.25">
      <c r="A25" s="83">
        <v>2020</v>
      </c>
      <c r="B25" s="82">
        <v>542.1</v>
      </c>
      <c r="C25" s="82">
        <v>552.7</v>
      </c>
      <c r="D25" s="82">
        <v>563.3</v>
      </c>
      <c r="E25" s="82">
        <v>531.5</v>
      </c>
      <c r="F25" s="82">
        <v>591.9</v>
      </c>
      <c r="G25" s="82">
        <v>126.8</v>
      </c>
      <c r="H25" s="82">
        <v>72</v>
      </c>
      <c r="I25" s="82">
        <v>140.2</v>
      </c>
      <c r="J25" s="82">
        <v>287.5</v>
      </c>
      <c r="K25" s="82">
        <v>85.5</v>
      </c>
      <c r="L25" s="82">
        <v>93.1</v>
      </c>
      <c r="M25" s="82">
        <v>260.7</v>
      </c>
      <c r="N25" s="82">
        <f t="shared" si="0"/>
        <v>320.60833333333335</v>
      </c>
    </row>
    <row r="26" spans="1:14" ht="14.25">
      <c r="A26" s="83">
        <v>2021</v>
      </c>
      <c r="B26" s="82">
        <v>177.8</v>
      </c>
      <c r="C26" s="82">
        <v>194.9</v>
      </c>
      <c r="D26" s="82">
        <v>253.8</v>
      </c>
      <c r="E26" s="82">
        <v>141.9</v>
      </c>
      <c r="F26" s="82">
        <v>255.6</v>
      </c>
      <c r="G26" s="82">
        <v>463.5</v>
      </c>
      <c r="H26" s="82">
        <v>683</v>
      </c>
      <c r="I26" s="82">
        <v>699.1</v>
      </c>
      <c r="J26" s="82">
        <v>666.7</v>
      </c>
      <c r="K26" s="82">
        <v>585.4</v>
      </c>
      <c r="L26" s="82">
        <v>678.4</v>
      </c>
      <c r="M26" s="82">
        <v>723.3</v>
      </c>
      <c r="N26" s="82">
        <f>AVERAGE(B26:M26)</f>
        <v>460.2833333333333</v>
      </c>
    </row>
    <row r="27" spans="1:14" ht="14.25">
      <c r="A27" s="83">
        <v>2022</v>
      </c>
      <c r="B27" s="82">
        <v>696.5</v>
      </c>
      <c r="C27" s="82">
        <v>600.8</v>
      </c>
      <c r="D27" s="82">
        <v>690</v>
      </c>
      <c r="E27" s="82">
        <v>720.6</v>
      </c>
      <c r="F27" s="82">
        <v>735.3</v>
      </c>
      <c r="G27" s="82">
        <v>688.2</v>
      </c>
      <c r="H27" s="82">
        <v>710</v>
      </c>
      <c r="I27" s="82">
        <v>667.6</v>
      </c>
      <c r="J27" s="82">
        <v>654.4</v>
      </c>
      <c r="K27" s="82">
        <v>674.9</v>
      </c>
      <c r="L27" s="82">
        <v>671.9</v>
      </c>
      <c r="M27" s="82">
        <v>688.2</v>
      </c>
      <c r="N27" s="82">
        <f>AVERAGE(B27:M27)</f>
        <v>683.1999999999999</v>
      </c>
    </row>
    <row r="28" spans="1:14" ht="14.25">
      <c r="A28" s="83">
        <v>2023</v>
      </c>
      <c r="B28" s="82">
        <v>705</v>
      </c>
      <c r="C28" s="82">
        <v>656.1</v>
      </c>
      <c r="D28" s="82">
        <v>734.1</v>
      </c>
      <c r="E28" s="82">
        <v>725.1</v>
      </c>
      <c r="F28" s="82">
        <v>768.5</v>
      </c>
      <c r="G28" s="82">
        <v>706.8</v>
      </c>
      <c r="H28" s="82">
        <v>750.7</v>
      </c>
      <c r="I28" s="82">
        <v>695.1</v>
      </c>
      <c r="J28" s="82">
        <v>700.4</v>
      </c>
      <c r="K28" s="82">
        <v>681.3</v>
      </c>
      <c r="L28" s="82">
        <v>667</v>
      </c>
      <c r="M28" s="82">
        <v>685.6</v>
      </c>
      <c r="N28" s="82">
        <f>AVERAGE(B28:M28)</f>
        <v>706.3083333333333</v>
      </c>
    </row>
    <row r="29" spans="1:14" ht="14.25">
      <c r="A29" s="28" t="s">
        <v>126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4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</sheetData>
  <sheetProtection/>
  <mergeCells count="1">
    <mergeCell ref="B4:N4"/>
  </mergeCells>
  <printOptions/>
  <pageMargins left="0.5" right="0.5" top="1" bottom="0.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Uthra Raghunathan</dc:creator>
  <cp:keywords/>
  <dc:description/>
  <cp:lastModifiedBy>Nima Homami</cp:lastModifiedBy>
  <cp:lastPrinted>2017-07-24T19:20:00Z</cp:lastPrinted>
  <dcterms:created xsi:type="dcterms:W3CDTF">2017-03-14T12:43:57Z</dcterms:created>
  <dcterms:modified xsi:type="dcterms:W3CDTF">2024-03-01T13:57:08Z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